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3"/>
  </bookViews>
  <sheets>
    <sheet name="Титульний лист" sheetId="1" r:id="rId1"/>
    <sheet name="І Фін результат" sheetId="2" r:id="rId2"/>
    <sheet name="ІІ Розр з бюджетом" sheetId="3" r:id="rId3"/>
    <sheet name="ІІІ Рух грошових коштів" sheetId="4" r:id="rId4"/>
    <sheet name="ІV Кап інвестиції" sheetId="5" r:id="rId5"/>
    <sheet name="V ОП" sheetId="6" r:id="rId6"/>
    <sheet name="VI Статутний капітал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<sst xmlns="http://schemas.openxmlformats.org/spreadsheetml/2006/main" count="484" uniqueCount="311">
  <si>
    <t>I. Формування фінансових результатів</t>
  </si>
  <si>
    <t>Найменування показника</t>
  </si>
  <si>
    <t xml:space="preserve">Код рядка 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</si>
  <si>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</si>
  <si>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</si>
  <si>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</si>
  <si>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</si>
  <si>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</si>
  <si>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Доходи і витрати (деталізація)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</si>
  <si>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</si>
  <si>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</si>
  <si>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 xml:space="preserve">Витрати на паливо </t>
  </si>
  <si>
    <t>Витрати на електроенергію</t>
  </si>
  <si>
    <t>Витрати на оплату праці</t>
  </si>
  <si>
    <t>Відрахування на соціальні заходи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</si>
  <si>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</si>
  <si>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</si>
  <si>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</si>
  <si>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>Валовий прибуток (збиток)</t>
  </si>
  <si>
    <t>Адміністративні витрати, у тому числі:</t>
  </si>
  <si>
    <t>витрати, пов'язані з використанням власних службових автомобілів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</si>
  <si>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</si>
  <si>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</si>
  <si>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</si>
  <si>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</si>
  <si>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</si>
  <si>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</si>
  <si>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</si>
  <si>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</si>
  <si>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</si>
  <si>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</si>
  <si>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</si>
  <si>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</si>
  <si>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</si>
  <si>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консультаційні та інформаційні послуги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</si>
  <si>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</si>
  <si>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</si>
  <si>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</si>
  <si>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</si>
  <si>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</si>
  <si>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поліпшення основних фондів</t>
  </si>
  <si>
    <t>1050/1</t>
  </si>
  <si>
    <t>інші адміністративні витрати (розшифрувати)</t>
  </si>
  <si>
    <t>Витрати на збут, у тому числі: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</si>
  <si>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</si>
  <si>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</si>
  <si>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</si>
  <si>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</si>
  <si>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</si>
  <si>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інші операційні витрати (розшифрувати)</t>
  </si>
  <si>
    <t>Фінансовий результат від операційної діяльності</t>
  </si>
  <si>
    <t>Дохід від участі в капіталі (розшифрувати)</t>
  </si>
  <si>
    <t>Втрати від участі в капіталі (розшифрувати)</t>
  </si>
  <si>
    <t>Інші фінансові доходи (розшифрувати)</t>
  </si>
  <si>
    <t>Фінансові витрати (розшифрувати)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</si>
  <si>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</si>
  <si>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</si>
  <si>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</si>
  <si>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>Чистий фінансовий результат, у тому числі:</t>
  </si>
  <si>
    <t xml:space="preserve">прибуток </t>
  </si>
  <si>
    <t>збиток</t>
  </si>
  <si>
    <t>Усього доходів</t>
  </si>
  <si>
    <t>Усього витрат</t>
  </si>
  <si>
    <t>IІ. Розрахунки з бюджетом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</si>
  <si>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</si>
  <si>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</si>
  <si>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Нараховані до сплати відрахування частини чистого прибутку, усього, у тому числі:</t>
  </si>
  <si>
    <t>Розвиток виробництва</t>
  </si>
  <si>
    <t>у тому числі за основними видами діяльності за КВЕД</t>
  </si>
  <si>
    <t>Резервний фонд</t>
  </si>
  <si>
    <t>Інші фонди (розшифрувати)</t>
  </si>
  <si>
    <t>Інші цілі (розшифрувати)</t>
  </si>
  <si>
    <t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</si>
  <si>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</si>
  <si>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>Сплата податків та зборів до Державного бюджету України (податкові платежі), усього, у тому числі:</t>
  </si>
  <si>
    <t>податок на прибуток підприємств</t>
  </si>
  <si>
    <t>акцизний податок</t>
  </si>
  <si>
    <t>податок на доходи фізичних осіб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</si>
  <si>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</si>
  <si>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</si>
  <si>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</si>
  <si>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</si>
  <si>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Інші податки, збори та платежі на користь держави, усього, у тому числі: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</si>
  <si>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</si>
  <si>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</si>
  <si>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</si>
  <si>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</si>
  <si>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</si>
  <si>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</si>
  <si>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t xml:space="preserve">(ініціали, прізвище)    </t>
  </si>
  <si>
    <t xml:space="preserve">                 (підпис)</t>
  </si>
  <si>
    <t>Код рядка</t>
  </si>
  <si>
    <t>І. Рух коштів у результаті операційної діяльності</t>
  </si>
  <si>
    <t xml:space="preserve">Надходження грошових коштів від операційної діяльності 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</si>
  <si>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</si>
  <si>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</si>
  <si>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</si>
  <si>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Надходження авансів від покупців і замовників</t>
  </si>
  <si>
    <t>Видатки грошових коштів від операційної діяльності</t>
  </si>
  <si>
    <t xml:space="preserve">Розрахунки за продукцію (товари, роботи та послуги) </t>
  </si>
  <si>
    <t xml:space="preserve">Розрахунки з оплати праці </t>
  </si>
  <si>
    <t>Зобов’язання з податків, зборів та інших обов’язкових платежів, у тому числі:</t>
  </si>
  <si>
    <t>податок на додану вартість</t>
  </si>
  <si>
    <t>інші обов’язкові платежі, у тому числі:</t>
  </si>
  <si>
    <t>інші платежі (розшифрувати)</t>
  </si>
  <si>
    <t>Повернення коштів до бюджету</t>
  </si>
  <si>
    <t>Чистий рух коштів від операційної діяльності</t>
  </si>
  <si>
    <t>II. Рух коштів у результаті інвестиційної діяльності</t>
  </si>
  <si>
    <t xml:space="preserve">Надходження грошових коштів від інвестиційної діяльності </t>
  </si>
  <si>
    <t>Виручка від реалізації фінансових інвестицій</t>
  </si>
  <si>
    <t xml:space="preserve">Виручка від реалізації необоротних активів </t>
  </si>
  <si>
    <t xml:space="preserve">Видатки грошових коштів від інвестиційної діяльності </t>
  </si>
  <si>
    <t>Чистий рух коштів від інвестиційної діяльності </t>
  </si>
  <si>
    <t>Чистий грошовий потік</t>
  </si>
  <si>
    <t>Залишок коштів на початок періоду</t>
  </si>
  <si>
    <t>Залишок коштів на кінець періоду</t>
  </si>
  <si>
    <t xml:space="preserve">податок на прибуток </t>
  </si>
  <si>
    <t xml:space="preserve">IV. Капітальні інвестиції </t>
  </si>
  <si>
    <t>Капітальні інвестиції, усього,
у тому числі:</t>
  </si>
  <si>
    <t>капітальне будівництво</t>
  </si>
  <si>
    <t>4010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</si>
  <si>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</si>
  <si>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</si>
  <si>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</si>
  <si>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</si>
  <si>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</si>
  <si>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директор</t>
  </si>
  <si>
    <t>адміністративно-управлінський персонал</t>
  </si>
  <si>
    <t>працівники</t>
  </si>
  <si>
    <t>Фонд оплати праці, тис. грн, у тому числі:</t>
  </si>
  <si>
    <t>Витрати на оплату праці, тис. грн, у тому числі:</t>
  </si>
  <si>
    <t>Середньомісячні витрати на оплату праці одного працівника (грн), усього, у тому числі:</t>
  </si>
  <si>
    <t>рік</t>
  </si>
  <si>
    <t>Інші операційні доходи (розшифрувати)</t>
  </si>
  <si>
    <t>Таблиця 1</t>
  </si>
  <si>
    <t>ЗАТВЕРДЖЕНО</t>
  </si>
  <si>
    <t>коди</t>
  </si>
  <si>
    <t xml:space="preserve">Підприємство  </t>
  </si>
  <si>
    <t xml:space="preserve">Організаційно-правова форма </t>
  </si>
  <si>
    <t>за КОПФГ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</si>
  <si>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</si>
  <si>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</si>
  <si>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</si>
  <si>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</si>
  <si>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виміру: тис. гривень</t>
  </si>
  <si>
    <t>Форма власності</t>
  </si>
  <si>
    <t>Чисельність працівників</t>
  </si>
  <si>
    <t xml:space="preserve">Місцезнаходження  </t>
  </si>
  <si>
    <t xml:space="preserve">Телефон </t>
  </si>
  <si>
    <t>__________________________________</t>
  </si>
  <si>
    <t>Таблиця 2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</si>
  <si>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</si>
  <si>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</si>
  <si>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Таблиця 3</t>
  </si>
  <si>
    <t>ІІІ. Рух грошових коштів</t>
  </si>
  <si>
    <t>Отримання коштів за короткостроковими зобов'язаннями</t>
  </si>
  <si>
    <t>Повернення коштів за короткостроковими зобов'язаннями</t>
  </si>
  <si>
    <t>відрахування частини чистого прибутку до бюджету</t>
  </si>
  <si>
    <t>Середньомісячна заробітна плата одного працівника (грн), усього, у тому числі:</t>
  </si>
  <si>
    <t>Таблиця 4</t>
  </si>
  <si>
    <t>Таблиця 5</t>
  </si>
  <si>
    <r>
      <t>V</t>
    </r>
    <r>
      <rPr>
        <b/>
        <sz val="12"/>
        <rFont val="Arial Cyr"/>
        <family val="0"/>
      </rPr>
      <t xml:space="preserve">. </t>
    </r>
    <r>
      <rPr>
        <b/>
        <sz val="12"/>
        <rFont val="Times New Roman"/>
        <family val="1"/>
      </rPr>
      <t>Дані про персонал та витрати на оплату праці</t>
    </r>
  </si>
  <si>
    <r>
      <t xml:space="preserve">Середня кількість працівників </t>
    </r>
    <r>
      <rPr>
        <sz val="11"/>
        <rFont val="Times New Roman"/>
        <family val="1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1"/>
        <rFont val="Times New Roman"/>
        <family val="1"/>
      </rPr>
      <t>, у тому числі:</t>
    </r>
  </si>
  <si>
    <t>Інші доходи (розшифрувати)</t>
  </si>
  <si>
    <t>Елементи операційних витрат</t>
  </si>
  <si>
    <t>Матеріальні витрати, у тому числі:</t>
  </si>
  <si>
    <t>витрати на сировину та основні матеріали</t>
  </si>
  <si>
    <t>витрати на паливо та енергію</t>
  </si>
  <si>
    <t>Амортизація</t>
  </si>
  <si>
    <t>Інші операційні витрати</t>
  </si>
  <si>
    <t>Усього</t>
  </si>
  <si>
    <t xml:space="preserve">за ЄДРПОУ </t>
  </si>
  <si>
    <t>ФІНАНСОВИЙ ПЛАН</t>
  </si>
  <si>
    <t>Надходження коштів з  бюджету МТГ</t>
  </si>
  <si>
    <t>Поповнення статутного капіталу підприємства</t>
  </si>
  <si>
    <t xml:space="preserve">Направлення коштів на: </t>
  </si>
  <si>
    <t>поповнення обігових коштів підприємства (розшифрувати)</t>
  </si>
  <si>
    <t>Таблиця 6</t>
  </si>
  <si>
    <t>VІ. Розподіл коштів, отриманих з  бюджету МТГ на поповнення 
статутного капіталу</t>
  </si>
  <si>
    <t>інше (розшифрувати)</t>
  </si>
  <si>
    <t>придбання на оновлення необоротних активів (розшифрувати)</t>
  </si>
  <si>
    <t>1000/1</t>
  </si>
  <si>
    <t>1000/2</t>
  </si>
  <si>
    <t>1000/3</t>
  </si>
  <si>
    <t>1080/1</t>
  </si>
  <si>
    <t>1051/1</t>
  </si>
  <si>
    <t>1051/2</t>
  </si>
  <si>
    <t>1051/3</t>
  </si>
  <si>
    <r>
      <t xml:space="preserve"> ФІНАНСОВИЙ ПЛАН ПІДПРИЄМСТВА НА </t>
    </r>
    <r>
      <rPr>
        <b/>
        <sz val="16"/>
        <color indexed="8"/>
        <rFont val="Times New Roman"/>
        <family val="1"/>
      </rPr>
      <t>2023</t>
    </r>
    <r>
      <rPr>
        <b/>
        <sz val="12"/>
        <color indexed="8"/>
        <rFont val="Times New Roman"/>
        <family val="1"/>
      </rPr>
      <t xml:space="preserve"> рік</t>
    </r>
  </si>
  <si>
    <t>Факт минулого року 2021</t>
  </si>
  <si>
    <t>Фінансовий план поточного року 2022</t>
  </si>
  <si>
    <t>Плановий рік (усього) 2023</t>
  </si>
  <si>
    <t>1080/2</t>
  </si>
  <si>
    <t>Директор</t>
  </si>
  <si>
    <t>військовий збір 1,5%</t>
  </si>
  <si>
    <t>Дохід від депозитних коштів на рахунках в банках</t>
  </si>
  <si>
    <t>Кошти отримані від реалізації майна</t>
  </si>
  <si>
    <t>1000/5</t>
  </si>
  <si>
    <t xml:space="preserve">Інші операційні доходи </t>
  </si>
  <si>
    <t xml:space="preserve">Кошти отримані від благодійних внесків, в тому числі в натуральній формі  </t>
  </si>
  <si>
    <t xml:space="preserve">Витрати на відрядні та на підвищення кваліфікації та перепідготовку кадрів </t>
  </si>
  <si>
    <t>Витрати від благодійної допомоги в натуральній формі</t>
  </si>
  <si>
    <t>сплата податків: земельний податок</t>
  </si>
  <si>
    <t>Дохід з місцевого бюджету по Комплексні Програмі розвитку та підтримки комунальних підприємств охорони здоров’я Нетішинської міської ТГ і надання медичних послуг  на 2021-2024 роки</t>
  </si>
  <si>
    <t>Дохід з місцевого бюджету за  цільовими програмами (інсулін)</t>
  </si>
  <si>
    <t>Дохід з місцевого бюджету (на заходи оздоровлення)</t>
  </si>
  <si>
    <t>Інші доходи (придбання обладнання і предметів довгострокового користування)</t>
  </si>
  <si>
    <t>Витрати за  цільовими програмами (інсулін)</t>
  </si>
  <si>
    <t>медикаменти та перев'язувальні матеріали</t>
  </si>
  <si>
    <t>продукти харчування</t>
  </si>
  <si>
    <t>оплата комунальних послуг та енергоносіїв</t>
  </si>
  <si>
    <t>предмети, матеріали, обладнання та інвентар (у т.ч. комп'ютерне обладнання, бланкова продукція, канцелярські товари, меблі, постіль, пальне, мийні засоби, інші предмети та інвентар</t>
  </si>
  <si>
    <t>оплата послуг (крім комунальних)</t>
  </si>
  <si>
    <t>Інші витрати (відрядні, навчання персоналу, придбання предметів і матералів)</t>
  </si>
  <si>
    <t>Інші витрати (капітальні видатки)</t>
  </si>
  <si>
    <t>Дохід від централізованого постачання</t>
  </si>
  <si>
    <t>Витрати від централізованого постачання</t>
  </si>
  <si>
    <t>Кошти отримані від плати за послуги (медогляди, перебування громадян за їх бажанням у медичних закладах з поліпшеним сервісним обслуговуванням, Договір "Медико-санітарне обслуговування" в здоровпункті ВП ХАЕС )</t>
  </si>
  <si>
    <t>Інші витрати (капітальні видатки від суми доходу власних надходжень)</t>
  </si>
  <si>
    <t>оплата послуг (крім комунальних), а саме: ремонт комп'ютерної техніки (в т.ч. заправка картриджів) видавничі, банківські, поштові послуги, послуги з перереєстрації автомобілів, довідки, витяги та інші</t>
  </si>
  <si>
    <t>в.ч.зг.П.18 П(С0 БО 15 "Дохід", визнаний дохід від цільового фінансування кап.Інвестицій, пропорційно сумі нарахованої амотризації</t>
  </si>
  <si>
    <t>Кошти отримані від оренди майна та від відшкодування земельного податку</t>
  </si>
  <si>
    <t>Витрати на сировину та основні матеріали (медикаменти та перев'язувальні матеріали)</t>
  </si>
  <si>
    <t>соціальне забезпечення                                                (пільгові пенсії)</t>
  </si>
  <si>
    <t>Інші  доходи (кошти від НСЗУ)</t>
  </si>
  <si>
    <t>3060/1</t>
  </si>
  <si>
    <t>3060/5</t>
  </si>
  <si>
    <t>3060/2</t>
  </si>
  <si>
    <t>3060/3</t>
  </si>
  <si>
    <t>3060/4</t>
  </si>
  <si>
    <t>податок на додану вартість від операційної діяльності</t>
  </si>
  <si>
    <t>Централізоване постачання (медикаменти, "Пакунки малюка", інші матеріали)</t>
  </si>
  <si>
    <t>Кошти отримані від Фонду соціального страхування з тимчасової втрати непрацездатності</t>
  </si>
  <si>
    <t>Дохід з місцевого бюджету (заходи із запобігання та ліквідації надзвичайних ситуацій та наслідків стихійного лиха)</t>
  </si>
  <si>
    <t>3060/6</t>
  </si>
  <si>
    <t>Кошти, відшкодовані за комунальні платежі від орендарів</t>
  </si>
  <si>
    <t>Кошти отримані від благодійних внесків</t>
  </si>
  <si>
    <t>3060/7</t>
  </si>
  <si>
    <t>Інші операційні доходи</t>
  </si>
  <si>
    <t>3060/8</t>
  </si>
  <si>
    <t>Витрати на виплату матеріального забезпечення від Фонду соціального страхування з тимчасової втрати непрацездатності</t>
  </si>
  <si>
    <t>Витрати від благодійної допомоги (грошові кошти)</t>
  </si>
  <si>
    <t>Дохід, пропорційно сумі нарахованої амотризації</t>
  </si>
  <si>
    <t>предмети, матеріали, обладнання та інвентар (витрати пов'язані з утриманням приміщень; придбання канцелярських товарів; бланкова продукція; комп'ютерне обладнання; придбання мийних засобів, інше)</t>
  </si>
  <si>
    <t xml:space="preserve">Директор </t>
  </si>
  <si>
    <t>___________________</t>
  </si>
  <si>
    <t>Василь ПОСЛОВСЬКИЙ</t>
  </si>
  <si>
    <t xml:space="preserve"> (посада)</t>
  </si>
  <si>
    <t>Заступник директора з економічних питань</t>
  </si>
  <si>
    <t>Валентина ПАРАХІНА</t>
  </si>
  <si>
    <t>Головний бухгалтер</t>
  </si>
  <si>
    <t>Ніна ЗІНЧУК</t>
  </si>
  <si>
    <t>(підпис)</t>
  </si>
  <si>
    <t xml:space="preserve">               Валентина ПАРАХІНА</t>
  </si>
  <si>
    <t xml:space="preserve">                     Василь ПОСЛОВСЬКИЙ</t>
  </si>
  <si>
    <t>Заступник директора                                 з економічних питань</t>
  </si>
  <si>
    <t>Комунальне некомерційне підприємство Нетішинської  міської ради "Спеціалізована медико-санітарна частина м.Нетішин"</t>
  </si>
  <si>
    <t>___.___.______</t>
  </si>
  <si>
    <t>№ ___/_______</t>
  </si>
  <si>
    <t>86.10                   86.22                   86.23</t>
  </si>
  <si>
    <t>Комунальна</t>
  </si>
  <si>
    <t>вул. Лісова ,1</t>
  </si>
  <si>
    <t>1070/1</t>
  </si>
  <si>
    <t>1070/2</t>
  </si>
  <si>
    <t>1070/3</t>
  </si>
  <si>
    <t>1070/4</t>
  </si>
  <si>
    <t>1070/5</t>
  </si>
  <si>
    <t>1070/6</t>
  </si>
  <si>
    <t>1070/7</t>
  </si>
  <si>
    <t>1070/8</t>
  </si>
  <si>
    <t>1070/9</t>
  </si>
  <si>
    <t>витрати за  цільовими програмами (інсулін)</t>
  </si>
  <si>
    <t>витрати на заходи оздоровлення  (придбання путівок на оздоровлення дітей)</t>
  </si>
  <si>
    <t>1080/3</t>
  </si>
  <si>
    <t>1080/4</t>
  </si>
  <si>
    <t>1080/5</t>
  </si>
  <si>
    <t>1080/6</t>
  </si>
  <si>
    <t>1080/7</t>
  </si>
  <si>
    <t>1080/8</t>
  </si>
  <si>
    <t>1080/9</t>
  </si>
  <si>
    <t>1080/10</t>
  </si>
  <si>
    <t>1080/11</t>
  </si>
  <si>
    <t>1080/12</t>
  </si>
  <si>
    <t>1080/13</t>
  </si>
  <si>
    <t>1080/14</t>
  </si>
  <si>
    <t>1080/15</t>
  </si>
  <si>
    <t>1080/16</t>
  </si>
  <si>
    <t>Цільове фінансування  (Дохід з місцевого бюджету по Комплексні Програмі)</t>
  </si>
  <si>
    <t>Дохід від цільового фінансування оплачуваних додаткових відпусток відповідно до Закону України "Про статус ЧАЕС" від 28.02.91 р. № 796-ХІІ</t>
  </si>
  <si>
    <t>Кошти отримані від плати за послуги (медогляди, платні послуги,  Договір "Медико-санітарне обслуговування" в здоровпункті ВП ХАЕС )</t>
  </si>
  <si>
    <t xml:space="preserve">єдиний внесок на загальнообов'язкове державне соціальне страхування    </t>
  </si>
  <si>
    <t>Витрати від цільового фінансування оплачуваних додаткових відпусток відповідно до Закону України "Про статус ЧАЕС" від 28.02.91 р. № 796-ХІІ</t>
  </si>
  <si>
    <t>капітальні видатки від суми доходу власних надходжень</t>
  </si>
  <si>
    <t>капітальні видатки з місцевого бюджету по Комплексні Програмі</t>
  </si>
  <si>
    <t>Витрати з місцевого бюджету (на оздоровлення)</t>
  </si>
  <si>
    <t>3020/1</t>
  </si>
  <si>
    <t>3140/1</t>
  </si>
  <si>
    <t>3140/2</t>
  </si>
  <si>
    <t>3140/3</t>
  </si>
  <si>
    <t>3141/1</t>
  </si>
  <si>
    <t>3141/2</t>
  </si>
  <si>
    <t>3142/1</t>
  </si>
  <si>
    <t>3142/2</t>
  </si>
  <si>
    <t>3160/1</t>
  </si>
  <si>
    <t>3260/1</t>
  </si>
  <si>
    <t>3260/2</t>
  </si>
  <si>
    <r>
      <t>амортизація основних засобів і нематеріальних активів</t>
    </r>
    <r>
      <rPr>
        <b/>
        <sz val="10.5"/>
        <rFont val="Times New Roman"/>
        <family val="1"/>
      </rPr>
      <t xml:space="preserve"> загальногосподарського призначення</t>
    </r>
  </si>
  <si>
    <r>
      <t>Інші надходження (розшифрувати)</t>
    </r>
    <r>
      <rPr>
        <i/>
        <sz val="10.5"/>
        <rFont val="Times New Roman"/>
        <family val="1"/>
      </rPr>
      <t xml:space="preserve"> </t>
    </r>
  </si>
  <si>
    <r>
      <t>Придбання (створення) основних засобів (розшифрувати)</t>
    </r>
    <r>
      <rPr>
        <i/>
        <sz val="10.5"/>
        <rFont val="Times New Roman"/>
        <family val="1"/>
      </rPr>
      <t xml:space="preserve"> </t>
    </r>
  </si>
  <si>
    <r>
      <t>Капітальне будівництво (розшифрувати)</t>
    </r>
    <r>
      <rPr>
        <i/>
        <sz val="10.5"/>
        <rFont val="Times New Roman"/>
        <family val="1"/>
      </rPr>
      <t xml:space="preserve"> </t>
    </r>
  </si>
  <si>
    <r>
      <t>Придбання (створення) нематеріальних активів (розшифрувати)</t>
    </r>
    <r>
      <rPr>
        <i/>
        <sz val="10.5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</si>
</sst>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"/>
    <numFmt numFmtId="205" formatCode="0.0"/>
    <numFmt numFmtId="206" formatCode="_(* #,##0_);_(* \(#,##0\);_(* &quot;-&quot;??_);_(@_)"/>
    <numFmt numFmtId="207" formatCode="_(* #,##0.0_);_(* \(#,##0.0\);_(* &quot;-&quot;??_);_(@_)"/>
    <numFmt numFmtId="208" formatCode="_(* #,##0.000_);_(* \(#,##0.000\);_(* &quot;-&quot;??_);_(@_)"/>
    <numFmt numFmtId="209" formatCode="#,##0.00_₴;[Red]#,##0.00_₴"/>
    <numFmt numFmtId="210" formatCode="#,##0.00;[Red]#,##0.00"/>
  </numFmts>
  <fonts count="52">
    <font>
      <sz val="10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sz val="10"/>
      <name val="Arial Cyr"/>
      <family val="0"/>
    </font>
    <font>
      <sz val="11"/>
      <name val="Arial"/>
      <family val="0"/>
    </font>
    <font>
      <i/>
      <sz val="11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name val="Arial Cyr"/>
      <family val="0"/>
    </font>
    <font>
      <sz val="10"/>
      <color indexed="8"/>
      <name val="Arial"/>
      <family val="2"/>
    </font>
    <font>
      <b/>
      <i/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10.5"/>
      <color indexed="8"/>
      <name val="Times New Roman"/>
      <family val="1"/>
    </font>
    <font>
      <i/>
      <sz val="10.5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14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1" borderId="7" applyNumberFormat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8" fillId="0" borderId="0">
      <alignment/>
      <protection/>
    </xf>
    <xf numFmtId="0" fontId="27" fillId="0" borderId="0">
      <alignment/>
      <protection/>
    </xf>
    <xf numFmtId="0" fontId="15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6" fillId="4" borderId="0" applyNumberFormat="0" applyBorder="0" applyAlignment="0" applyProtection="0"/>
  </cellStyleXfs>
  <cellXfs count="218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 quotePrefix="1">
      <alignment horizontal="center" vertical="center"/>
    </xf>
    <xf numFmtId="201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53" applyFont="1" applyFill="1" applyBorder="1" applyAlignment="1">
      <alignment horizontal="center" vertical="center"/>
      <protection/>
    </xf>
    <xf numFmtId="0" fontId="6" fillId="0" borderId="10" xfId="53" applyFont="1" applyFill="1" applyBorder="1" applyAlignment="1">
      <alignment horizontal="center" vertical="center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>
      <alignment horizontal="left" vertical="center" wrapText="1"/>
      <protection/>
    </xf>
    <xf numFmtId="0" fontId="4" fillId="0" borderId="10" xfId="53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201" fontId="5" fillId="0" borderId="10" xfId="0" applyNumberFormat="1" applyFont="1" applyFill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center"/>
      <protection/>
    </xf>
    <xf numFmtId="0" fontId="4" fillId="0" borderId="0" xfId="53" applyFont="1" applyFill="1" applyBorder="1" applyAlignment="1">
      <alignment horizontal="left" vertical="center" wrapText="1"/>
      <protection/>
    </xf>
    <xf numFmtId="204" fontId="4" fillId="0" borderId="0" xfId="53" applyNumberFormat="1" applyFont="1" applyFill="1" applyBorder="1" applyAlignment="1">
      <alignment horizontal="center" vertical="center" wrapText="1"/>
      <protection/>
    </xf>
    <xf numFmtId="204" fontId="4" fillId="0" borderId="0" xfId="53" applyNumberFormat="1" applyFont="1" applyFill="1" applyBorder="1" applyAlignment="1">
      <alignment horizontal="right" vertical="center" wrapText="1"/>
      <protection/>
    </xf>
    <xf numFmtId="204" fontId="10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 quotePrefix="1">
      <alignment horizontal="center" vertical="center"/>
    </xf>
    <xf numFmtId="205" fontId="5" fillId="0" borderId="0" xfId="0" applyNumberFormat="1" applyFont="1" applyFill="1" applyBorder="1" applyAlignment="1">
      <alignment horizontal="center" vertical="center" wrapText="1"/>
    </xf>
    <xf numFmtId="205" fontId="5" fillId="0" borderId="0" xfId="0" applyNumberFormat="1" applyFont="1" applyFill="1" applyBorder="1" applyAlignment="1">
      <alignment horizontal="right" vertical="center" wrapText="1"/>
    </xf>
    <xf numFmtId="205" fontId="5" fillId="0" borderId="0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 quotePrefix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/>
    </xf>
    <xf numFmtId="0" fontId="20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22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14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18" fillId="0" borderId="12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23" fillId="0" borderId="0" xfId="0" applyFont="1" applyAlignment="1">
      <alignment vertical="center" wrapText="1"/>
    </xf>
    <xf numFmtId="0" fontId="25" fillId="0" borderId="0" xfId="0" applyFont="1" applyAlignment="1">
      <alignment horizontal="justify" vertical="center"/>
    </xf>
    <xf numFmtId="0" fontId="18" fillId="0" borderId="17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20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24" fillId="0" borderId="18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4" fillId="0" borderId="1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 quotePrefix="1">
      <alignment horizontal="center" vertical="center"/>
    </xf>
    <xf numFmtId="0" fontId="18" fillId="0" borderId="18" xfId="0" applyFont="1" applyBorder="1" applyAlignment="1">
      <alignment vertical="center" wrapText="1"/>
    </xf>
    <xf numFmtId="0" fontId="23" fillId="0" borderId="13" xfId="0" applyFont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4" fillId="24" borderId="10" xfId="0" applyFont="1" applyFill="1" applyBorder="1" applyAlignment="1" applyProtection="1">
      <alignment horizontal="left" vertical="center" wrapText="1"/>
      <protection locked="0"/>
    </xf>
    <xf numFmtId="0" fontId="4" fillId="24" borderId="10" xfId="0" applyNumberFormat="1" applyFont="1" applyFill="1" applyBorder="1" applyAlignment="1" applyProtection="1" quotePrefix="1">
      <alignment horizontal="center" vertical="center" wrapText="1"/>
      <protection locked="0"/>
    </xf>
    <xf numFmtId="201" fontId="5" fillId="24" borderId="10" xfId="0" applyNumberFormat="1" applyFont="1" applyFill="1" applyBorder="1" applyAlignment="1">
      <alignment horizontal="center" vertical="center" wrapText="1"/>
    </xf>
    <xf numFmtId="201" fontId="4" fillId="24" borderId="10" xfId="0" applyNumberFormat="1" applyFont="1" applyFill="1" applyBorder="1" applyAlignment="1" applyProtection="1">
      <alignment horizontal="center" vertical="center" wrapText="1"/>
      <protection locked="0"/>
    </xf>
    <xf numFmtId="201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49" fontId="18" fillId="0" borderId="15" xfId="0" applyNumberFormat="1" applyFont="1" applyBorder="1" applyAlignment="1">
      <alignment vertical="center"/>
    </xf>
    <xf numFmtId="0" fontId="2" fillId="0" borderId="0" xfId="0" applyFont="1" applyAlignment="1">
      <alignment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 quotePrefix="1">
      <alignment horizontal="center"/>
    </xf>
    <xf numFmtId="204" fontId="2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/>
    </xf>
    <xf numFmtId="0" fontId="3" fillId="0" borderId="20" xfId="0" applyFont="1" applyFill="1" applyBorder="1" applyAlignment="1">
      <alignment/>
    </xf>
    <xf numFmtId="0" fontId="3" fillId="0" borderId="0" xfId="0" applyFont="1" applyFill="1" applyAlignment="1">
      <alignment/>
    </xf>
    <xf numFmtId="0" fontId="24" fillId="0" borderId="13" xfId="0" applyFont="1" applyBorder="1" applyAlignment="1">
      <alignment horizontal="left" vertical="center" wrapText="1"/>
    </xf>
    <xf numFmtId="0" fontId="9" fillId="0" borderId="0" xfId="0" applyFont="1" applyBorder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 quotePrefix="1">
      <alignment horizontal="center" vertical="center"/>
    </xf>
    <xf numFmtId="0" fontId="12" fillId="24" borderId="10" xfId="0" applyFont="1" applyFill="1" applyBorder="1" applyAlignment="1" quotePrefix="1">
      <alignment horizontal="center" vertical="center"/>
    </xf>
    <xf numFmtId="0" fontId="13" fillId="0" borderId="10" xfId="0" applyFont="1" applyFill="1" applyBorder="1" applyAlignment="1" quotePrefix="1">
      <alignment horizontal="center" vertical="center"/>
    </xf>
    <xf numFmtId="201" fontId="12" fillId="0" borderId="10" xfId="0" applyNumberFormat="1" applyFont="1" applyFill="1" applyBorder="1" applyAlignment="1">
      <alignment horizontal="center" vertical="center" wrapText="1"/>
    </xf>
    <xf numFmtId="201" fontId="13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/>
    </xf>
    <xf numFmtId="4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 quotePrefix="1">
      <alignment horizontal="center"/>
    </xf>
    <xf numFmtId="4" fontId="12" fillId="0" borderId="10" xfId="0" applyNumberFormat="1" applyFont="1" applyBorder="1" applyAlignment="1">
      <alignment horizontal="center"/>
    </xf>
    <xf numFmtId="4" fontId="12" fillId="0" borderId="10" xfId="0" applyNumberFormat="1" applyFont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/>
    </xf>
    <xf numFmtId="0" fontId="13" fillId="0" borderId="10" xfId="0" applyFont="1" applyFill="1" applyBorder="1" applyAlignment="1" quotePrefix="1">
      <alignment horizontal="center"/>
    </xf>
    <xf numFmtId="4" fontId="13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 quotePrefix="1">
      <alignment horizontal="center"/>
    </xf>
    <xf numFmtId="204" fontId="47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204" fontId="12" fillId="0" borderId="0" xfId="0" applyNumberFormat="1" applyFont="1" applyFill="1" applyBorder="1" applyAlignment="1">
      <alignment horizontal="left" wrapText="1"/>
    </xf>
    <xf numFmtId="204" fontId="12" fillId="0" borderId="0" xfId="0" applyNumberFormat="1" applyFont="1" applyFill="1" applyBorder="1" applyAlignment="1" quotePrefix="1">
      <alignment horizontal="left" wrapText="1"/>
    </xf>
    <xf numFmtId="0" fontId="12" fillId="0" borderId="20" xfId="0" applyFont="1" applyFill="1" applyBorder="1" applyAlignment="1">
      <alignment/>
    </xf>
    <xf numFmtId="0" fontId="12" fillId="0" borderId="0" xfId="0" applyFont="1" applyFill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right" vertical="center"/>
    </xf>
    <xf numFmtId="0" fontId="20" fillId="0" borderId="24" xfId="0" applyFont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2" fontId="9" fillId="0" borderId="0" xfId="0" applyNumberFormat="1" applyFont="1" applyBorder="1" applyAlignment="1">
      <alignment horizontal="right"/>
    </xf>
    <xf numFmtId="0" fontId="21" fillId="0" borderId="12" xfId="0" applyFont="1" applyBorder="1" applyAlignment="1">
      <alignment horizontal="center" wrapText="1"/>
    </xf>
    <xf numFmtId="0" fontId="21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/>
    </xf>
    <xf numFmtId="204" fontId="3" fillId="0" borderId="0" xfId="0" applyNumberFormat="1" applyFont="1" applyFill="1" applyBorder="1" applyAlignment="1">
      <alignment horizontal="left" wrapText="1"/>
    </xf>
    <xf numFmtId="204" fontId="3" fillId="0" borderId="0" xfId="0" applyNumberFormat="1" applyFont="1" applyFill="1" applyBorder="1" applyAlignment="1" quotePrefix="1">
      <alignment horizontal="left" wrapText="1"/>
    </xf>
    <xf numFmtId="0" fontId="3" fillId="0" borderId="2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5" fillId="0" borderId="10" xfId="53" applyFont="1" applyFill="1" applyBorder="1" applyAlignment="1">
      <alignment horizontal="left" vertical="center" wrapText="1"/>
      <protection/>
    </xf>
    <xf numFmtId="0" fontId="1" fillId="0" borderId="0" xfId="53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53" applyFont="1" applyFill="1" applyBorder="1" applyAlignment="1">
      <alignment horizontal="center" vertical="center" wrapText="1"/>
      <protection/>
    </xf>
    <xf numFmtId="0" fontId="5" fillId="0" borderId="25" xfId="53" applyFont="1" applyFill="1" applyBorder="1" applyAlignment="1">
      <alignment horizontal="center" vertical="center" wrapText="1"/>
      <protection/>
    </xf>
    <xf numFmtId="0" fontId="5" fillId="0" borderId="26" xfId="53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5" fillId="0" borderId="26" xfId="0" applyFont="1" applyFill="1" applyBorder="1" applyAlignment="1" applyProtection="1">
      <alignment horizontal="center" vertical="center"/>
      <protection locked="0"/>
    </xf>
    <xf numFmtId="0" fontId="5" fillId="24" borderId="11" xfId="0" applyFont="1" applyFill="1" applyBorder="1" applyAlignment="1">
      <alignment horizontal="center" vertical="center" wrapText="1"/>
    </xf>
    <xf numFmtId="0" fontId="5" fillId="24" borderId="25" xfId="0" applyFont="1" applyFill="1" applyBorder="1" applyAlignment="1">
      <alignment horizontal="center" vertical="center" wrapText="1"/>
    </xf>
    <xf numFmtId="0" fontId="5" fillId="24" borderId="26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 shrinkToFit="1"/>
    </xf>
    <xf numFmtId="0" fontId="49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0" fontId="48" fillId="24" borderId="10" xfId="54" applyFont="1" applyFill="1" applyBorder="1" applyAlignment="1">
      <alignment horizontal="left" vertical="center" wrapText="1"/>
      <protection/>
    </xf>
    <xf numFmtId="2" fontId="12" fillId="0" borderId="10" xfId="0" applyNumberFormat="1" applyFont="1" applyFill="1" applyBorder="1" applyAlignment="1">
      <alignment horizontal="center" vertical="center" wrapText="1"/>
    </xf>
    <xf numFmtId="0" fontId="48" fillId="24" borderId="10" xfId="0" applyFont="1" applyFill="1" applyBorder="1" applyAlignment="1">
      <alignment horizontal="left" vertical="center" wrapText="1"/>
    </xf>
    <xf numFmtId="0" fontId="48" fillId="0" borderId="10" xfId="54" applyFont="1" applyFill="1" applyBorder="1" applyAlignment="1">
      <alignment horizontal="left" vertical="center" wrapText="1"/>
      <protection/>
    </xf>
    <xf numFmtId="0" fontId="48" fillId="0" borderId="10" xfId="0" applyFont="1" applyFill="1" applyBorder="1" applyAlignment="1">
      <alignment horizontal="left" vertical="center" wrapText="1" shrinkToFit="1"/>
    </xf>
    <xf numFmtId="0" fontId="48" fillId="0" borderId="10" xfId="0" applyFont="1" applyBorder="1" applyAlignment="1">
      <alignment wrapText="1"/>
    </xf>
    <xf numFmtId="0" fontId="49" fillId="0" borderId="10" xfId="0" applyFont="1" applyFill="1" applyBorder="1" applyAlignment="1">
      <alignment horizontal="left" vertical="center" wrapText="1"/>
    </xf>
    <xf numFmtId="0" fontId="48" fillId="0" borderId="27" xfId="0" applyFont="1" applyFill="1" applyBorder="1" applyAlignment="1">
      <alignment horizontal="left" vertical="center" wrapText="1"/>
    </xf>
    <xf numFmtId="0" fontId="9" fillId="0" borderId="0" xfId="0" applyFont="1" applyAlignment="1">
      <alignment/>
    </xf>
    <xf numFmtId="0" fontId="48" fillId="0" borderId="19" xfId="53" applyFont="1" applyFill="1" applyBorder="1" applyAlignment="1">
      <alignment horizontal="center" vertical="center" wrapText="1"/>
      <protection/>
    </xf>
    <xf numFmtId="0" fontId="48" fillId="0" borderId="10" xfId="0" applyFont="1" applyFill="1" applyBorder="1" applyAlignment="1">
      <alignment horizontal="center" vertical="center" wrapText="1" shrinkToFit="1"/>
    </xf>
    <xf numFmtId="0" fontId="48" fillId="0" borderId="27" xfId="53" applyFont="1" applyFill="1" applyBorder="1" applyAlignment="1">
      <alignment horizontal="center" vertical="center" wrapText="1"/>
      <protection/>
    </xf>
    <xf numFmtId="0" fontId="48" fillId="0" borderId="10" xfId="0" applyFont="1" applyFill="1" applyBorder="1" applyAlignment="1">
      <alignment horizontal="center" vertical="center" wrapText="1"/>
    </xf>
    <xf numFmtId="0" fontId="49" fillId="0" borderId="11" xfId="53" applyFont="1" applyFill="1" applyBorder="1" applyAlignment="1">
      <alignment horizontal="center" vertical="center" wrapText="1"/>
      <protection/>
    </xf>
    <xf numFmtId="0" fontId="49" fillId="0" borderId="25" xfId="53" applyFont="1" applyFill="1" applyBorder="1" applyAlignment="1">
      <alignment horizontal="center" vertical="center" wrapText="1"/>
      <protection/>
    </xf>
    <xf numFmtId="0" fontId="49" fillId="0" borderId="26" xfId="53" applyFont="1" applyFill="1" applyBorder="1" applyAlignment="1">
      <alignment horizontal="center" vertical="center" wrapText="1"/>
      <protection/>
    </xf>
    <xf numFmtId="0" fontId="49" fillId="0" borderId="27" xfId="0" applyFont="1" applyFill="1" applyBorder="1" applyAlignment="1">
      <alignment horizontal="left" vertical="center" wrapText="1"/>
    </xf>
    <xf numFmtId="0" fontId="49" fillId="0" borderId="27" xfId="0" applyFont="1" applyFill="1" applyBorder="1" applyAlignment="1" quotePrefix="1">
      <alignment horizontal="center" vertical="center"/>
    </xf>
    <xf numFmtId="0" fontId="48" fillId="0" borderId="10" xfId="0" applyFont="1" applyFill="1" applyBorder="1" applyAlignment="1" quotePrefix="1">
      <alignment horizontal="center" vertical="center"/>
    </xf>
    <xf numFmtId="0" fontId="50" fillId="0" borderId="10" xfId="54" applyFont="1" applyFill="1" applyBorder="1" applyAlignment="1">
      <alignment horizontal="left" vertical="center" wrapText="1"/>
      <protection/>
    </xf>
    <xf numFmtId="0" fontId="49" fillId="0" borderId="10" xfId="0" applyFont="1" applyFill="1" applyBorder="1" applyAlignment="1" quotePrefix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0" xfId="53" applyFont="1" applyFill="1" applyBorder="1" applyAlignment="1">
      <alignment horizontal="left" vertical="center" wrapText="1"/>
      <protection/>
    </xf>
    <xf numFmtId="0" fontId="49" fillId="0" borderId="19" xfId="53" applyFont="1" applyFill="1" applyBorder="1" applyAlignment="1">
      <alignment horizontal="left" vertical="center" wrapText="1"/>
      <protection/>
    </xf>
    <xf numFmtId="0" fontId="49" fillId="0" borderId="19" xfId="0" applyFont="1" applyFill="1" applyBorder="1" applyAlignment="1" quotePrefix="1">
      <alignment horizontal="center" vertical="center"/>
    </xf>
    <xf numFmtId="0" fontId="0" fillId="0" borderId="0" xfId="0" applyFont="1" applyFill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Лист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60;&#1055;%20&#1057;&#1052;&#1057;&#1063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ий лист"/>
      <sheetName val="І Фін результат"/>
      <sheetName val="ІІ Розр з бюджетом"/>
      <sheetName val="ІІІ Рух грошових коштів"/>
      <sheetName val="ІV Кап інвестиції"/>
      <sheetName val="V ОП"/>
      <sheetName val="VI Статутний капітал"/>
    </sheetNames>
    <sheetDataSet>
      <sheetData sheetId="1">
        <row r="10">
          <cell r="F10">
            <v>3011.25</v>
          </cell>
          <cell r="G10">
            <v>3761.25</v>
          </cell>
          <cell r="H10">
            <v>3761.25</v>
          </cell>
          <cell r="I10">
            <v>3011.25</v>
          </cell>
        </row>
      </sheetData>
      <sheetData sheetId="2">
        <row r="27">
          <cell r="F27">
            <v>2898</v>
          </cell>
          <cell r="G27">
            <v>3546</v>
          </cell>
          <cell r="H27">
            <v>3696.07</v>
          </cell>
          <cell r="I27">
            <v>4061.93</v>
          </cell>
        </row>
        <row r="33">
          <cell r="F33">
            <v>3464.57904</v>
          </cell>
          <cell r="G33">
            <v>4239.34865</v>
          </cell>
          <cell r="H33">
            <v>4420.130386452</v>
          </cell>
          <cell r="I33">
            <v>4854.936379224</v>
          </cell>
        </row>
        <row r="35">
          <cell r="F35">
            <v>241.5</v>
          </cell>
          <cell r="G35">
            <v>295.5</v>
          </cell>
          <cell r="H35">
            <v>308.01</v>
          </cell>
          <cell r="I35">
            <v>338.49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5"/>
  <sheetViews>
    <sheetView zoomScalePageLayoutView="0" workbookViewId="0" topLeftCell="A1">
      <selection activeCell="A1" sqref="A1:H2"/>
    </sheetView>
  </sheetViews>
  <sheetFormatPr defaultColWidth="9.140625" defaultRowHeight="12.75"/>
  <cols>
    <col min="1" max="1" width="2.57421875" style="0" customWidth="1"/>
    <col min="2" max="2" width="26.7109375" style="0" customWidth="1"/>
    <col min="3" max="3" width="9.28125" style="0" customWidth="1"/>
    <col min="6" max="6" width="10.57421875" style="0" customWidth="1"/>
    <col min="7" max="7" width="5.00390625" style="0" customWidth="1"/>
    <col min="8" max="8" width="11.57421875" style="0" customWidth="1"/>
  </cols>
  <sheetData>
    <row r="1" spans="2:8" ht="18.75" customHeight="1">
      <c r="B1" s="44"/>
      <c r="E1" s="143"/>
      <c r="F1" s="143"/>
      <c r="G1" s="143"/>
      <c r="H1" s="143"/>
    </row>
    <row r="2" spans="4:10" ht="39.75" customHeight="1">
      <c r="D2" s="46"/>
      <c r="E2" s="144"/>
      <c r="F2" s="144"/>
      <c r="G2" s="144"/>
      <c r="H2" s="144"/>
      <c r="I2" s="47"/>
      <c r="J2" s="47"/>
    </row>
    <row r="3" ht="12.75">
      <c r="B3" s="48"/>
    </row>
    <row r="4" spans="2:5" ht="18.75">
      <c r="B4" s="48"/>
      <c r="E4" s="45" t="s">
        <v>135</v>
      </c>
    </row>
    <row r="5" spans="2:5" ht="22.5" customHeight="1">
      <c r="B5" s="48"/>
      <c r="E5" t="s">
        <v>149</v>
      </c>
    </row>
    <row r="6" spans="2:5" ht="18.75" customHeight="1">
      <c r="B6" s="48"/>
      <c r="E6" t="s">
        <v>149</v>
      </c>
    </row>
    <row r="7" spans="2:5" ht="19.5" customHeight="1">
      <c r="B7" s="48"/>
      <c r="E7" t="s">
        <v>149</v>
      </c>
    </row>
    <row r="8" spans="2:7" ht="19.5" customHeight="1">
      <c r="B8" s="48"/>
      <c r="E8" t="s">
        <v>257</v>
      </c>
      <c r="G8" t="s">
        <v>258</v>
      </c>
    </row>
    <row r="9" ht="12.75">
      <c r="B9" s="48"/>
    </row>
    <row r="10" ht="20.25" customHeight="1">
      <c r="B10" s="44"/>
    </row>
    <row r="11" spans="2:8" ht="20.25" customHeight="1">
      <c r="B11" s="149" t="s">
        <v>172</v>
      </c>
      <c r="C11" s="149"/>
      <c r="D11" s="149"/>
      <c r="E11" s="149"/>
      <c r="F11" s="149"/>
      <c r="G11" s="149"/>
      <c r="H11" s="149"/>
    </row>
    <row r="12" ht="20.25" customHeight="1" thickBot="1">
      <c r="B12" s="44"/>
    </row>
    <row r="13" spans="2:8" ht="15.75">
      <c r="B13" s="50"/>
      <c r="C13" s="50"/>
      <c r="D13" s="49"/>
      <c r="E13" s="49"/>
      <c r="F13" s="49"/>
      <c r="G13" s="145" t="s">
        <v>136</v>
      </c>
      <c r="H13" s="146"/>
    </row>
    <row r="14" spans="2:8" ht="19.5" thickBot="1">
      <c r="B14" s="60"/>
      <c r="C14" s="44"/>
      <c r="D14" s="44"/>
      <c r="E14" s="44">
        <v>2023</v>
      </c>
      <c r="F14" s="50" t="s">
        <v>132</v>
      </c>
      <c r="G14" s="147"/>
      <c r="H14" s="148"/>
    </row>
    <row r="15" spans="2:8" ht="111.75" customHeight="1" thickBot="1">
      <c r="B15" s="73" t="s">
        <v>137</v>
      </c>
      <c r="C15" s="153" t="s">
        <v>256</v>
      </c>
      <c r="D15" s="153"/>
      <c r="E15" s="153"/>
      <c r="F15" s="74" t="s">
        <v>171</v>
      </c>
      <c r="G15" s="154">
        <v>40365451</v>
      </c>
      <c r="H15" s="135"/>
    </row>
    <row r="16" spans="2:8" ht="37.5" customHeight="1" thickBot="1">
      <c r="B16" s="53" t="s">
        <v>138</v>
      </c>
      <c r="C16" s="54"/>
      <c r="D16" s="54"/>
      <c r="E16" s="54"/>
      <c r="F16" s="51" t="s">
        <v>139</v>
      </c>
      <c r="G16" s="66"/>
      <c r="H16" s="67">
        <v>150</v>
      </c>
    </row>
    <row r="17" spans="2:8" ht="27" customHeight="1" thickBot="1">
      <c r="B17" s="53" t="s">
        <v>140</v>
      </c>
      <c r="C17" s="54"/>
      <c r="D17" s="54"/>
      <c r="E17" s="54"/>
      <c r="F17" s="51" t="s">
        <v>141</v>
      </c>
      <c r="G17" s="66"/>
      <c r="H17" s="67"/>
    </row>
    <row r="18" spans="2:8" ht="42.75" customHeight="1" thickBot="1">
      <c r="B18" s="53" t="s">
        <v>142</v>
      </c>
      <c r="C18" s="54"/>
      <c r="D18" s="54"/>
      <c r="E18" s="54"/>
      <c r="F18" s="51" t="s">
        <v>143</v>
      </c>
      <c r="G18" s="66"/>
      <c r="H18" s="108" t="s">
        <v>259</v>
      </c>
    </row>
    <row r="19" spans="2:8" ht="32.25" customHeight="1" thickBot="1">
      <c r="B19" s="53" t="s">
        <v>144</v>
      </c>
      <c r="C19" s="54"/>
      <c r="D19" s="54"/>
      <c r="E19" s="54"/>
      <c r="F19" s="55"/>
      <c r="G19" s="55"/>
      <c r="H19" s="52"/>
    </row>
    <row r="20" spans="2:8" ht="21.75" customHeight="1" thickBot="1">
      <c r="B20" s="53" t="s">
        <v>145</v>
      </c>
      <c r="C20" s="152" t="s">
        <v>260</v>
      </c>
      <c r="D20" s="152"/>
      <c r="E20" s="152"/>
      <c r="F20" s="152"/>
      <c r="G20" s="55"/>
      <c r="H20" s="52"/>
    </row>
    <row r="21" spans="2:8" ht="21.75" customHeight="1" thickBot="1">
      <c r="B21" s="53" t="s">
        <v>146</v>
      </c>
      <c r="C21" s="54"/>
      <c r="D21" s="151">
        <v>402.5</v>
      </c>
      <c r="E21" s="151"/>
      <c r="F21" s="54"/>
      <c r="G21" s="55"/>
      <c r="H21" s="52"/>
    </row>
    <row r="22" spans="2:8" ht="21.75" customHeight="1" thickBot="1">
      <c r="B22" s="53" t="s">
        <v>147</v>
      </c>
      <c r="C22" s="136" t="s">
        <v>261</v>
      </c>
      <c r="D22" s="136"/>
      <c r="E22" s="136"/>
      <c r="F22" s="136"/>
      <c r="G22" s="55"/>
      <c r="H22" s="52"/>
    </row>
    <row r="23" spans="2:8" ht="21.75" customHeight="1" thickBot="1">
      <c r="B23" s="53" t="s">
        <v>148</v>
      </c>
      <c r="C23" s="89"/>
      <c r="D23" s="136">
        <v>42266</v>
      </c>
      <c r="E23" s="136"/>
      <c r="F23" s="56"/>
      <c r="G23" s="56"/>
      <c r="H23" s="57"/>
    </row>
    <row r="24" spans="3:8" ht="15.75">
      <c r="C24" s="56"/>
      <c r="D24" s="56"/>
      <c r="E24" s="56"/>
      <c r="F24" s="56"/>
      <c r="G24" s="56"/>
      <c r="H24" s="56"/>
    </row>
    <row r="25" spans="2:8" ht="31.5" customHeight="1">
      <c r="B25" s="90" t="s">
        <v>193</v>
      </c>
      <c r="C25" s="90"/>
      <c r="D25" s="90"/>
      <c r="E25" s="150" t="s">
        <v>246</v>
      </c>
      <c r="F25" s="150"/>
      <c r="G25" s="150"/>
      <c r="H25" s="150"/>
    </row>
    <row r="26" spans="2:8" ht="15.75">
      <c r="B26" s="44"/>
      <c r="C26" s="44"/>
      <c r="D26" s="44"/>
      <c r="E26" s="44"/>
      <c r="F26" s="50"/>
      <c r="G26" s="44"/>
      <c r="H26" s="44"/>
    </row>
    <row r="27" spans="2:8" ht="12.75">
      <c r="B27" s="58"/>
      <c r="C27" s="58"/>
      <c r="D27" s="58"/>
      <c r="E27" s="58"/>
      <c r="F27" s="58"/>
      <c r="G27" s="58"/>
      <c r="H27" s="58"/>
    </row>
    <row r="28" ht="16.5">
      <c r="B28" s="59"/>
    </row>
    <row r="29" ht="15.75">
      <c r="B29" s="43"/>
    </row>
    <row r="30" ht="15.75">
      <c r="B30" s="43"/>
    </row>
    <row r="31" ht="15.75">
      <c r="B31" s="43"/>
    </row>
    <row r="32" ht="15.75">
      <c r="B32" s="43"/>
    </row>
    <row r="33" ht="15.75">
      <c r="B33" s="43"/>
    </row>
    <row r="34" ht="15.75">
      <c r="B34" s="43"/>
    </row>
    <row r="35" ht="15.75">
      <c r="B35" s="43"/>
    </row>
  </sheetData>
  <sheetProtection/>
  <mergeCells count="12">
    <mergeCell ref="E25:H25"/>
    <mergeCell ref="D21:E21"/>
    <mergeCell ref="C20:F20"/>
    <mergeCell ref="C15:E15"/>
    <mergeCell ref="G15:H15"/>
    <mergeCell ref="C22:F22"/>
    <mergeCell ref="D23:E23"/>
    <mergeCell ref="E1:H1"/>
    <mergeCell ref="E2:H2"/>
    <mergeCell ref="G13:H13"/>
    <mergeCell ref="G14:H14"/>
    <mergeCell ref="B11:H11"/>
  </mergeCells>
  <printOptions/>
  <pageMargins left="1.377952755905511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9"/>
  <sheetViews>
    <sheetView zoomScale="120" zoomScaleNormal="120" zoomScalePageLayoutView="0" workbookViewId="0" topLeftCell="A114">
      <selection activeCell="I129" sqref="A1:I129"/>
    </sheetView>
  </sheetViews>
  <sheetFormatPr defaultColWidth="9.140625" defaultRowHeight="12.75"/>
  <cols>
    <col min="1" max="1" width="32.28125" style="2" customWidth="1"/>
    <col min="2" max="2" width="6.421875" style="2" customWidth="1"/>
    <col min="3" max="3" width="9.7109375" style="2" customWidth="1"/>
    <col min="4" max="4" width="11.28125" style="2" customWidth="1"/>
    <col min="5" max="6" width="9.8515625" style="2" customWidth="1"/>
    <col min="7" max="7" width="11.00390625" style="2" customWidth="1"/>
    <col min="8" max="8" width="10.57421875" style="2" customWidth="1"/>
    <col min="9" max="9" width="10.7109375" style="2" customWidth="1"/>
    <col min="10" max="16384" width="9.140625" style="2" customWidth="1"/>
  </cols>
  <sheetData>
    <row r="1" spans="1:9" ht="18" customHeight="1">
      <c r="A1" s="141" t="s">
        <v>188</v>
      </c>
      <c r="B1" s="141"/>
      <c r="C1" s="141"/>
      <c r="D1" s="141"/>
      <c r="E1" s="141"/>
      <c r="F1" s="141"/>
      <c r="G1" s="141"/>
      <c r="H1" s="141"/>
      <c r="I1" s="141"/>
    </row>
    <row r="2" spans="1:9" ht="15.75">
      <c r="A2" s="90"/>
      <c r="B2" s="90"/>
      <c r="C2" s="90"/>
      <c r="D2" s="90"/>
      <c r="E2" s="90"/>
      <c r="F2" s="90"/>
      <c r="G2" s="142" t="s">
        <v>134</v>
      </c>
      <c r="H2" s="142"/>
      <c r="I2" s="142"/>
    </row>
    <row r="3" spans="1:9" ht="15.75" customHeight="1">
      <c r="A3" s="134" t="s">
        <v>0</v>
      </c>
      <c r="B3" s="134"/>
      <c r="C3" s="134"/>
      <c r="D3" s="134"/>
      <c r="E3" s="134"/>
      <c r="F3" s="134"/>
      <c r="G3" s="134"/>
      <c r="H3" s="134"/>
      <c r="I3" s="134"/>
    </row>
    <row r="4" spans="1:9" ht="7.5" customHeight="1">
      <c r="A4" s="1"/>
      <c r="B4" s="3"/>
      <c r="C4" s="1"/>
      <c r="D4" s="1"/>
      <c r="E4" s="3"/>
      <c r="F4" s="1"/>
      <c r="G4" s="1"/>
      <c r="H4" s="1"/>
      <c r="I4" s="1"/>
    </row>
    <row r="5" spans="1:9" ht="15" customHeight="1">
      <c r="A5" s="186" t="s">
        <v>1</v>
      </c>
      <c r="B5" s="187" t="s">
        <v>2</v>
      </c>
      <c r="C5" s="187" t="s">
        <v>189</v>
      </c>
      <c r="D5" s="187" t="s">
        <v>190</v>
      </c>
      <c r="E5" s="187" t="s">
        <v>191</v>
      </c>
      <c r="F5" s="187" t="s">
        <v>3</v>
      </c>
      <c r="G5" s="187"/>
      <c r="H5" s="187"/>
      <c r="I5" s="187"/>
    </row>
    <row r="6" spans="1:9" ht="47.25" customHeight="1">
      <c r="A6" s="186"/>
      <c r="B6" s="187"/>
      <c r="C6" s="187"/>
      <c r="D6" s="187"/>
      <c r="E6" s="187"/>
      <c r="F6" s="188" t="s">
        <v>4</v>
      </c>
      <c r="G6" s="188" t="s">
        <v>5</v>
      </c>
      <c r="H6" s="188" t="s">
        <v>6</v>
      </c>
      <c r="I6" s="188" t="s">
        <v>7</v>
      </c>
    </row>
    <row r="7" spans="1:9" s="13" customFormat="1" ht="12.75">
      <c r="A7" s="110">
        <v>1</v>
      </c>
      <c r="B7" s="42">
        <v>2</v>
      </c>
      <c r="C7" s="42">
        <v>3</v>
      </c>
      <c r="D7" s="42">
        <v>4</v>
      </c>
      <c r="E7" s="42">
        <v>5</v>
      </c>
      <c r="F7" s="42">
        <v>6</v>
      </c>
      <c r="G7" s="42">
        <v>7</v>
      </c>
      <c r="H7" s="42">
        <v>8</v>
      </c>
      <c r="I7" s="42">
        <v>9</v>
      </c>
    </row>
    <row r="8" spans="1:9" ht="20.25" customHeight="1">
      <c r="A8" s="189" t="s">
        <v>8</v>
      </c>
      <c r="B8" s="111"/>
      <c r="C8" s="111"/>
      <c r="D8" s="111"/>
      <c r="E8" s="111"/>
      <c r="F8" s="111"/>
      <c r="G8" s="111"/>
      <c r="H8" s="111"/>
      <c r="I8" s="111"/>
    </row>
    <row r="9" spans="1:9" ht="32.25" customHeight="1">
      <c r="A9" s="190" t="s">
        <v>9</v>
      </c>
      <c r="B9" s="112">
        <v>1000</v>
      </c>
      <c r="C9" s="191">
        <f>C10+C11+C12+C13</f>
        <v>76977.6</v>
      </c>
      <c r="D9" s="191">
        <f aca="true" t="shared" si="0" ref="D9:I9">D10+D11+D12+D13</f>
        <v>78689.38</v>
      </c>
      <c r="E9" s="191">
        <f t="shared" si="0"/>
        <v>94083</v>
      </c>
      <c r="F9" s="191">
        <f>F10+F11+F12+F13</f>
        <v>19537.5</v>
      </c>
      <c r="G9" s="191">
        <f t="shared" si="0"/>
        <v>23323.25</v>
      </c>
      <c r="H9" s="191">
        <f t="shared" si="0"/>
        <v>24450.25</v>
      </c>
      <c r="I9" s="191">
        <f t="shared" si="0"/>
        <v>26772</v>
      </c>
    </row>
    <row r="10" spans="1:9" ht="90" customHeight="1">
      <c r="A10" s="192" t="s">
        <v>217</v>
      </c>
      <c r="B10" s="113" t="s">
        <v>181</v>
      </c>
      <c r="C10" s="193">
        <f>6565.44+2888.27</f>
        <v>9453.71</v>
      </c>
      <c r="D10" s="193">
        <f>8010+3778.47</f>
        <v>11788.47</v>
      </c>
      <c r="E10" s="191">
        <f>F10+G10+H10+I10</f>
        <v>13545</v>
      </c>
      <c r="F10" s="193">
        <f>1011.25+2000</f>
        <v>3011.25</v>
      </c>
      <c r="G10" s="193">
        <f>1011.25+2750</f>
        <v>3761.25</v>
      </c>
      <c r="H10" s="193">
        <f>1011.25+2750</f>
        <v>3761.25</v>
      </c>
      <c r="I10" s="193">
        <f>1011.25+2000</f>
        <v>3011.25</v>
      </c>
    </row>
    <row r="11" spans="1:9" ht="33.75" customHeight="1">
      <c r="A11" s="192" t="s">
        <v>221</v>
      </c>
      <c r="B11" s="113" t="s">
        <v>182</v>
      </c>
      <c r="C11" s="193">
        <v>380</v>
      </c>
      <c r="D11" s="193">
        <v>350</v>
      </c>
      <c r="E11" s="191">
        <f aca="true" t="shared" si="1" ref="E11:E94">F11+G11+H11+I11</f>
        <v>533</v>
      </c>
      <c r="F11" s="193">
        <f>110+13</f>
        <v>123</v>
      </c>
      <c r="G11" s="193">
        <f>115+13</f>
        <v>128</v>
      </c>
      <c r="H11" s="193">
        <f>125+13.5</f>
        <v>138.5</v>
      </c>
      <c r="I11" s="193">
        <f>130+13.5</f>
        <v>143.5</v>
      </c>
    </row>
    <row r="12" spans="1:9" ht="23.25" customHeight="1">
      <c r="A12" s="192" t="s">
        <v>196</v>
      </c>
      <c r="B12" s="113" t="s">
        <v>183</v>
      </c>
      <c r="C12" s="193">
        <v>1.89</v>
      </c>
      <c r="D12" s="193">
        <v>4.34</v>
      </c>
      <c r="E12" s="191">
        <f t="shared" si="1"/>
        <v>5</v>
      </c>
      <c r="F12" s="193">
        <v>1</v>
      </c>
      <c r="G12" s="193">
        <v>1</v>
      </c>
      <c r="H12" s="193">
        <v>1</v>
      </c>
      <c r="I12" s="193">
        <v>2</v>
      </c>
    </row>
    <row r="13" spans="1:9" ht="20.25" customHeight="1">
      <c r="A13" s="192" t="s">
        <v>224</v>
      </c>
      <c r="B13" s="113" t="s">
        <v>197</v>
      </c>
      <c r="C13" s="193">
        <v>67142</v>
      </c>
      <c r="D13" s="193">
        <v>66546.57</v>
      </c>
      <c r="E13" s="191">
        <f t="shared" si="1"/>
        <v>80000</v>
      </c>
      <c r="F13" s="193">
        <f>15000+1402.25</f>
        <v>16402.25</v>
      </c>
      <c r="G13" s="193">
        <f>18000+1433</f>
        <v>19433</v>
      </c>
      <c r="H13" s="193">
        <f>22000-2450.5+1000</f>
        <v>20549.5</v>
      </c>
      <c r="I13" s="193">
        <f>25000-384.75-1000</f>
        <v>23615.25</v>
      </c>
    </row>
    <row r="14" spans="1:9" ht="30" customHeight="1">
      <c r="A14" s="190" t="s">
        <v>10</v>
      </c>
      <c r="B14" s="112">
        <v>1010</v>
      </c>
      <c r="C14" s="191">
        <f>C15+C16+C17+C18+C19+C20+C21+C22+C23</f>
        <v>6147.49</v>
      </c>
      <c r="D14" s="191">
        <f>D15+D16+D17+D18+D19+D20+D21+D22+D23</f>
        <v>67008.04</v>
      </c>
      <c r="E14" s="191">
        <f t="shared" si="1"/>
        <v>81706.99997947601</v>
      </c>
      <c r="F14" s="191">
        <f>F15+F18+F19+F20+F21+F23</f>
        <v>16673.00112</v>
      </c>
      <c r="G14" s="191">
        <f>G15+G18+G19+G20+G21+G23</f>
        <v>20554.2514</v>
      </c>
      <c r="H14" s="191">
        <f>H15+H18+H19+H20+H21+H23</f>
        <v>21569.254768452</v>
      </c>
      <c r="I14" s="191">
        <f>I15+I18+I19+I20+I21+I23</f>
        <v>22910.492691024</v>
      </c>
    </row>
    <row r="15" spans="1:9" ht="42" customHeight="1">
      <c r="A15" s="190" t="s">
        <v>222</v>
      </c>
      <c r="B15" s="42">
        <v>1011</v>
      </c>
      <c r="C15" s="193">
        <f>826.63</f>
        <v>826.63</v>
      </c>
      <c r="D15" s="193">
        <v>4785</v>
      </c>
      <c r="E15" s="191">
        <f t="shared" si="1"/>
        <v>5830</v>
      </c>
      <c r="F15" s="193">
        <v>1000</v>
      </c>
      <c r="G15" s="193">
        <v>1500</v>
      </c>
      <c r="H15" s="193">
        <v>1500</v>
      </c>
      <c r="I15" s="193">
        <v>1830</v>
      </c>
    </row>
    <row r="16" spans="1:9" ht="15">
      <c r="A16" s="190" t="s">
        <v>11</v>
      </c>
      <c r="B16" s="42">
        <v>1012</v>
      </c>
      <c r="C16" s="193"/>
      <c r="D16" s="193"/>
      <c r="E16" s="191">
        <f t="shared" si="1"/>
        <v>0</v>
      </c>
      <c r="F16" s="193"/>
      <c r="G16" s="193"/>
      <c r="H16" s="193"/>
      <c r="I16" s="193"/>
    </row>
    <row r="17" spans="1:9" ht="17.25" customHeight="1">
      <c r="A17" s="190" t="s">
        <v>12</v>
      </c>
      <c r="B17" s="42">
        <v>1013</v>
      </c>
      <c r="C17" s="193"/>
      <c r="D17" s="193"/>
      <c r="E17" s="191">
        <f t="shared" si="1"/>
        <v>0</v>
      </c>
      <c r="F17" s="193"/>
      <c r="G17" s="193"/>
      <c r="H17" s="193"/>
      <c r="I17" s="193"/>
    </row>
    <row r="18" spans="1:9" ht="20.25" customHeight="1">
      <c r="A18" s="190" t="s">
        <v>13</v>
      </c>
      <c r="B18" s="42">
        <v>1014</v>
      </c>
      <c r="C18" s="193">
        <f>3526.22</f>
        <v>3526.22</v>
      </c>
      <c r="D18" s="193">
        <v>48974.78</v>
      </c>
      <c r="E18" s="191">
        <f t="shared" si="1"/>
        <v>59155.09999999999</v>
      </c>
      <c r="F18" s="193">
        <v>12000</v>
      </c>
      <c r="G18" s="193">
        <v>15000</v>
      </c>
      <c r="H18" s="193">
        <f>15000+822.7</f>
        <v>15822.7</v>
      </c>
      <c r="I18" s="193">
        <f>17155.1-822.7</f>
        <v>16332.399999999998</v>
      </c>
    </row>
    <row r="19" spans="1:9" ht="21" customHeight="1">
      <c r="A19" s="190" t="s">
        <v>14</v>
      </c>
      <c r="B19" s="42">
        <v>1015</v>
      </c>
      <c r="C19" s="193">
        <f>755.14</f>
        <v>755.14</v>
      </c>
      <c r="D19" s="193">
        <v>10721.93</v>
      </c>
      <c r="E19" s="191">
        <f t="shared" si="1"/>
        <v>12742.999979476</v>
      </c>
      <c r="F19" s="193">
        <f>F18*21.541676/100</f>
        <v>2585.00112</v>
      </c>
      <c r="G19" s="193">
        <f>G18*21.541676/100</f>
        <v>3231.2513999999996</v>
      </c>
      <c r="H19" s="193">
        <f>H18*21.541676/100+0.08</f>
        <v>3408.5547684519997</v>
      </c>
      <c r="I19" s="193">
        <f>I18*21.541676/100-0.08</f>
        <v>3518.1926910239995</v>
      </c>
    </row>
    <row r="20" spans="1:9" ht="56.25" customHeight="1">
      <c r="A20" s="190" t="s">
        <v>15</v>
      </c>
      <c r="B20" s="42">
        <v>1016</v>
      </c>
      <c r="C20" s="193">
        <v>952.2</v>
      </c>
      <c r="D20" s="193">
        <v>1810.33</v>
      </c>
      <c r="E20" s="191">
        <f t="shared" si="1"/>
        <v>3306.9</v>
      </c>
      <c r="F20" s="193">
        <f>150+800</f>
        <v>950</v>
      </c>
      <c r="G20" s="193">
        <f>160+500</f>
        <v>660</v>
      </c>
      <c r="H20" s="193">
        <f>160+500</f>
        <v>660</v>
      </c>
      <c r="I20" s="193">
        <f>175.9+861</f>
        <v>1036.9</v>
      </c>
    </row>
    <row r="21" spans="1:9" ht="27.75" customHeight="1">
      <c r="A21" s="190" t="s">
        <v>16</v>
      </c>
      <c r="B21" s="42">
        <v>1017</v>
      </c>
      <c r="C21" s="193"/>
      <c r="D21" s="193"/>
      <c r="E21" s="191">
        <f t="shared" si="1"/>
        <v>565</v>
      </c>
      <c r="F21" s="193">
        <v>130</v>
      </c>
      <c r="G21" s="193">
        <v>135</v>
      </c>
      <c r="H21" s="193">
        <v>150</v>
      </c>
      <c r="I21" s="193">
        <v>150</v>
      </c>
    </row>
    <row r="22" spans="1:9" ht="18.75" customHeight="1">
      <c r="A22" s="190" t="s">
        <v>17</v>
      </c>
      <c r="B22" s="42">
        <v>1018</v>
      </c>
      <c r="C22" s="193"/>
      <c r="D22" s="193"/>
      <c r="E22" s="191">
        <f t="shared" si="1"/>
        <v>0</v>
      </c>
      <c r="F22" s="193"/>
      <c r="G22" s="193"/>
      <c r="H22" s="193"/>
      <c r="I22" s="193"/>
    </row>
    <row r="23" spans="1:9" ht="32.25" customHeight="1">
      <c r="A23" s="194" t="s">
        <v>200</v>
      </c>
      <c r="B23" s="42">
        <v>1019</v>
      </c>
      <c r="C23" s="193">
        <v>87.3</v>
      </c>
      <c r="D23" s="193">
        <v>716</v>
      </c>
      <c r="E23" s="191">
        <f t="shared" si="1"/>
        <v>107</v>
      </c>
      <c r="F23" s="193">
        <f>50-42</f>
        <v>8</v>
      </c>
      <c r="G23" s="193">
        <f>70-42</f>
        <v>28</v>
      </c>
      <c r="H23" s="193">
        <f>70-42</f>
        <v>28</v>
      </c>
      <c r="I23" s="193">
        <f>85-42</f>
        <v>43</v>
      </c>
    </row>
    <row r="24" spans="1:9" ht="15" customHeight="1">
      <c r="A24" s="190"/>
      <c r="B24" s="42"/>
      <c r="C24" s="193"/>
      <c r="D24" s="193"/>
      <c r="E24" s="191"/>
      <c r="F24" s="193"/>
      <c r="G24" s="193"/>
      <c r="H24" s="193"/>
      <c r="I24" s="193"/>
    </row>
    <row r="25" spans="1:9" ht="15">
      <c r="A25" s="189" t="s">
        <v>18</v>
      </c>
      <c r="B25" s="114">
        <v>1020</v>
      </c>
      <c r="C25" s="191">
        <f>C9-C14</f>
        <v>70830.11</v>
      </c>
      <c r="D25" s="191">
        <f>D9-D14</f>
        <v>11681.340000000011</v>
      </c>
      <c r="E25" s="191">
        <f>F25+G25+H25+I25</f>
        <v>12376.000020524</v>
      </c>
      <c r="F25" s="191">
        <f>F9-F14</f>
        <v>2864.498879999999</v>
      </c>
      <c r="G25" s="191">
        <f>G9-G14</f>
        <v>2768.998599999999</v>
      </c>
      <c r="H25" s="191">
        <f>H9-H14</f>
        <v>2880.9952315480004</v>
      </c>
      <c r="I25" s="191">
        <f>I9-I14</f>
        <v>3861.507308976001</v>
      </c>
    </row>
    <row r="26" spans="1:9" ht="25.5" customHeight="1">
      <c r="A26" s="190" t="s">
        <v>19</v>
      </c>
      <c r="B26" s="112">
        <v>1030</v>
      </c>
      <c r="C26" s="191">
        <f>C27+C28+C29+C30+C31+C32+C33+C34+C35+C37+C38+C39+C40+C41+C42+C43+C44+C45+C48+C36</f>
        <v>8965.43</v>
      </c>
      <c r="D26" s="191">
        <f>D27+D28+D29+D30+D31+D32+D33+D34+D35+D36+D48+D44+D42</f>
        <v>10938.02</v>
      </c>
      <c r="E26" s="191">
        <f>F26+G26+H26+I26</f>
        <v>12891</v>
      </c>
      <c r="F26" s="191">
        <f>F27+F28+F29+F30+F31+F32+F33+F34+F35+F36+F48+F44+F42</f>
        <v>2784.5</v>
      </c>
      <c r="G26" s="191">
        <f>G27+G28+G29+G30+G31+G32+G33+G34+G35+G36+G48+G44+G42</f>
        <v>2944</v>
      </c>
      <c r="H26" s="191">
        <f>H27+H28+H29+H30+H31+H32+H33+H34+H35+H36+H48+H44+H42</f>
        <v>3086</v>
      </c>
      <c r="I26" s="191">
        <f>I27+I28+I29+I30+I31+I32+I33+I34+I35+I36+I48+I44+I42</f>
        <v>4076.5</v>
      </c>
    </row>
    <row r="27" spans="1:9" ht="28.5" customHeight="1">
      <c r="A27" s="190" t="s">
        <v>20</v>
      </c>
      <c r="B27" s="112">
        <v>1031</v>
      </c>
      <c r="C27" s="193">
        <v>38.56</v>
      </c>
      <c r="D27" s="193">
        <v>35</v>
      </c>
      <c r="E27" s="191">
        <f t="shared" si="1"/>
        <v>45</v>
      </c>
      <c r="F27" s="193">
        <v>11</v>
      </c>
      <c r="G27" s="193">
        <v>11</v>
      </c>
      <c r="H27" s="193">
        <v>11</v>
      </c>
      <c r="I27" s="193">
        <v>12</v>
      </c>
    </row>
    <row r="28" spans="1:9" ht="27">
      <c r="A28" s="190" t="s">
        <v>21</v>
      </c>
      <c r="B28" s="112">
        <v>1032</v>
      </c>
      <c r="C28" s="193"/>
      <c r="D28" s="193"/>
      <c r="E28" s="191">
        <f t="shared" si="1"/>
        <v>0</v>
      </c>
      <c r="F28" s="193"/>
      <c r="G28" s="193"/>
      <c r="H28" s="193"/>
      <c r="I28" s="193"/>
    </row>
    <row r="29" spans="1:9" ht="15">
      <c r="A29" s="190" t="s">
        <v>22</v>
      </c>
      <c r="B29" s="112">
        <v>1033</v>
      </c>
      <c r="C29" s="193"/>
      <c r="D29" s="193"/>
      <c r="E29" s="191">
        <f t="shared" si="1"/>
        <v>0</v>
      </c>
      <c r="F29" s="193"/>
      <c r="G29" s="193"/>
      <c r="H29" s="193"/>
      <c r="I29" s="193"/>
    </row>
    <row r="30" spans="1:9" ht="15">
      <c r="A30" s="190" t="s">
        <v>23</v>
      </c>
      <c r="B30" s="112">
        <v>1034</v>
      </c>
      <c r="C30" s="193"/>
      <c r="D30" s="193"/>
      <c r="E30" s="191">
        <f t="shared" si="1"/>
        <v>0</v>
      </c>
      <c r="F30" s="193"/>
      <c r="G30" s="193"/>
      <c r="H30" s="193"/>
      <c r="I30" s="193"/>
    </row>
    <row r="31" spans="1:9" ht="15">
      <c r="A31" s="190" t="s">
        <v>24</v>
      </c>
      <c r="B31" s="112">
        <v>1035</v>
      </c>
      <c r="C31" s="193"/>
      <c r="D31" s="193"/>
      <c r="E31" s="191">
        <f t="shared" si="1"/>
        <v>0</v>
      </c>
      <c r="F31" s="193"/>
      <c r="G31" s="193"/>
      <c r="H31" s="193"/>
      <c r="I31" s="193"/>
    </row>
    <row r="32" spans="1:9" ht="15" customHeight="1">
      <c r="A32" s="190" t="s">
        <v>25</v>
      </c>
      <c r="B32" s="112">
        <v>1036</v>
      </c>
      <c r="C32" s="193">
        <v>8</v>
      </c>
      <c r="D32" s="193">
        <v>78</v>
      </c>
      <c r="E32" s="191">
        <f t="shared" si="1"/>
        <v>168</v>
      </c>
      <c r="F32" s="193">
        <v>42</v>
      </c>
      <c r="G32" s="193">
        <v>42</v>
      </c>
      <c r="H32" s="193">
        <v>42</v>
      </c>
      <c r="I32" s="193">
        <v>42</v>
      </c>
    </row>
    <row r="33" spans="1:9" ht="15">
      <c r="A33" s="190" t="s">
        <v>26</v>
      </c>
      <c r="B33" s="112">
        <v>1037</v>
      </c>
      <c r="C33" s="193">
        <v>100.86</v>
      </c>
      <c r="D33" s="193">
        <v>130</v>
      </c>
      <c r="E33" s="191">
        <f t="shared" si="1"/>
        <v>168</v>
      </c>
      <c r="F33" s="193">
        <v>42</v>
      </c>
      <c r="G33" s="193">
        <v>42</v>
      </c>
      <c r="H33" s="193">
        <v>42</v>
      </c>
      <c r="I33" s="193">
        <v>42</v>
      </c>
    </row>
    <row r="34" spans="1:9" ht="15">
      <c r="A34" s="190" t="s">
        <v>27</v>
      </c>
      <c r="B34" s="112">
        <v>1038</v>
      </c>
      <c r="C34" s="193">
        <v>6992.86</v>
      </c>
      <c r="D34" s="193">
        <v>8400</v>
      </c>
      <c r="E34" s="191">
        <f t="shared" si="1"/>
        <v>9700</v>
      </c>
      <c r="F34" s="193">
        <v>2100</v>
      </c>
      <c r="G34" s="193">
        <v>2200</v>
      </c>
      <c r="H34" s="193">
        <v>2300</v>
      </c>
      <c r="I34" s="193">
        <v>3100</v>
      </c>
    </row>
    <row r="35" spans="1:9" ht="17.25" customHeight="1">
      <c r="A35" s="190" t="s">
        <v>28</v>
      </c>
      <c r="B35" s="112">
        <v>1039</v>
      </c>
      <c r="C35" s="193">
        <v>1477.26</v>
      </c>
      <c r="D35" s="193">
        <v>1829.02</v>
      </c>
      <c r="E35" s="191">
        <f t="shared" si="1"/>
        <v>2086</v>
      </c>
      <c r="F35" s="193">
        <f>F34*21.5/100</f>
        <v>451.5</v>
      </c>
      <c r="G35" s="193">
        <f>G34*21.5/100</f>
        <v>473</v>
      </c>
      <c r="H35" s="193">
        <f>H34*21.5/100</f>
        <v>494.5</v>
      </c>
      <c r="I35" s="193">
        <v>667</v>
      </c>
    </row>
    <row r="36" spans="1:9" ht="54">
      <c r="A36" s="190" t="s">
        <v>29</v>
      </c>
      <c r="B36" s="112">
        <v>1040</v>
      </c>
      <c r="C36" s="193">
        <v>88.2</v>
      </c>
      <c r="D36" s="193">
        <v>200</v>
      </c>
      <c r="E36" s="191">
        <f t="shared" si="1"/>
        <v>200</v>
      </c>
      <c r="F36" s="193">
        <v>40</v>
      </c>
      <c r="G36" s="193">
        <v>40</v>
      </c>
      <c r="H36" s="193">
        <v>55</v>
      </c>
      <c r="I36" s="193">
        <v>65</v>
      </c>
    </row>
    <row r="37" spans="1:9" ht="54">
      <c r="A37" s="190" t="s">
        <v>30</v>
      </c>
      <c r="B37" s="112">
        <v>1041</v>
      </c>
      <c r="C37" s="193"/>
      <c r="D37" s="193"/>
      <c r="E37" s="191">
        <f t="shared" si="1"/>
        <v>0</v>
      </c>
      <c r="F37" s="193"/>
      <c r="G37" s="193"/>
      <c r="H37" s="193"/>
      <c r="I37" s="193"/>
    </row>
    <row r="38" spans="1:9" ht="40.5">
      <c r="A38" s="190" t="s">
        <v>31</v>
      </c>
      <c r="B38" s="112">
        <v>1042</v>
      </c>
      <c r="C38" s="193"/>
      <c r="D38" s="193"/>
      <c r="E38" s="191">
        <f t="shared" si="1"/>
        <v>0</v>
      </c>
      <c r="F38" s="193"/>
      <c r="G38" s="193"/>
      <c r="H38" s="193"/>
      <c r="I38" s="193"/>
    </row>
    <row r="39" spans="1:9" ht="27">
      <c r="A39" s="190" t="s">
        <v>32</v>
      </c>
      <c r="B39" s="112">
        <v>1043</v>
      </c>
      <c r="C39" s="193"/>
      <c r="D39" s="193"/>
      <c r="E39" s="191">
        <f t="shared" si="1"/>
        <v>0</v>
      </c>
      <c r="F39" s="193"/>
      <c r="G39" s="193"/>
      <c r="H39" s="193"/>
      <c r="I39" s="193"/>
    </row>
    <row r="40" spans="1:9" ht="15">
      <c r="A40" s="190" t="s">
        <v>33</v>
      </c>
      <c r="B40" s="112">
        <v>1044</v>
      </c>
      <c r="C40" s="193"/>
      <c r="D40" s="193"/>
      <c r="E40" s="191">
        <f t="shared" si="1"/>
        <v>0</v>
      </c>
      <c r="F40" s="193"/>
      <c r="G40" s="193"/>
      <c r="H40" s="193"/>
      <c r="I40" s="193"/>
    </row>
    <row r="41" spans="1:9" ht="27">
      <c r="A41" s="190" t="s">
        <v>34</v>
      </c>
      <c r="B41" s="112">
        <v>1045</v>
      </c>
      <c r="C41" s="193"/>
      <c r="D41" s="193"/>
      <c r="E41" s="191">
        <f t="shared" si="1"/>
        <v>0</v>
      </c>
      <c r="F41" s="193"/>
      <c r="G41" s="193"/>
      <c r="H41" s="193"/>
      <c r="I41" s="193"/>
    </row>
    <row r="42" spans="1:9" ht="15">
      <c r="A42" s="190" t="s">
        <v>35</v>
      </c>
      <c r="B42" s="112">
        <v>1046</v>
      </c>
      <c r="C42" s="193">
        <v>5</v>
      </c>
      <c r="D42" s="193">
        <v>6</v>
      </c>
      <c r="E42" s="191">
        <f t="shared" si="1"/>
        <v>16</v>
      </c>
      <c r="F42" s="193">
        <v>5</v>
      </c>
      <c r="G42" s="193">
        <v>3</v>
      </c>
      <c r="H42" s="193">
        <v>3</v>
      </c>
      <c r="I42" s="193">
        <v>5</v>
      </c>
    </row>
    <row r="43" spans="1:9" ht="15">
      <c r="A43" s="190" t="s">
        <v>36</v>
      </c>
      <c r="B43" s="112">
        <v>1047</v>
      </c>
      <c r="C43" s="193"/>
      <c r="D43" s="193"/>
      <c r="E43" s="191">
        <f t="shared" si="1"/>
        <v>0</v>
      </c>
      <c r="F43" s="193"/>
      <c r="G43" s="193"/>
      <c r="H43" s="193"/>
      <c r="I43" s="193"/>
    </row>
    <row r="44" spans="1:9" ht="27">
      <c r="A44" s="190" t="s">
        <v>37</v>
      </c>
      <c r="B44" s="112">
        <v>1048</v>
      </c>
      <c r="C44" s="193"/>
      <c r="D44" s="193"/>
      <c r="E44" s="191">
        <f t="shared" si="1"/>
        <v>0</v>
      </c>
      <c r="F44" s="193"/>
      <c r="G44" s="193"/>
      <c r="H44" s="193"/>
      <c r="I44" s="193"/>
    </row>
    <row r="45" spans="1:9" ht="27">
      <c r="A45" s="190" t="s">
        <v>38</v>
      </c>
      <c r="B45" s="112">
        <v>1049</v>
      </c>
      <c r="C45" s="193"/>
      <c r="D45" s="193"/>
      <c r="E45" s="191">
        <f t="shared" si="1"/>
        <v>0</v>
      </c>
      <c r="F45" s="193"/>
      <c r="G45" s="193"/>
      <c r="H45" s="193"/>
      <c r="I45" s="193"/>
    </row>
    <row r="46" spans="1:9" ht="60" customHeight="1">
      <c r="A46" s="190" t="s">
        <v>39</v>
      </c>
      <c r="B46" s="112">
        <v>1050</v>
      </c>
      <c r="C46" s="193"/>
      <c r="D46" s="193"/>
      <c r="E46" s="191">
        <f t="shared" si="1"/>
        <v>0</v>
      </c>
      <c r="F46" s="193"/>
      <c r="G46" s="193"/>
      <c r="H46" s="193"/>
      <c r="I46" s="193"/>
    </row>
    <row r="47" spans="1:9" ht="27">
      <c r="A47" s="190" t="s">
        <v>40</v>
      </c>
      <c r="B47" s="110" t="s">
        <v>41</v>
      </c>
      <c r="C47" s="193"/>
      <c r="D47" s="193"/>
      <c r="E47" s="191">
        <f t="shared" si="1"/>
        <v>0</v>
      </c>
      <c r="F47" s="193"/>
      <c r="G47" s="193"/>
      <c r="H47" s="193"/>
      <c r="I47" s="193"/>
    </row>
    <row r="48" spans="1:9" ht="27">
      <c r="A48" s="190" t="s">
        <v>42</v>
      </c>
      <c r="B48" s="112">
        <v>1051</v>
      </c>
      <c r="C48" s="191">
        <f>C49+C50+C51</f>
        <v>254.69</v>
      </c>
      <c r="D48" s="193">
        <f aca="true" t="shared" si="2" ref="D48:I48">D49+D50+D51</f>
        <v>260</v>
      </c>
      <c r="E48" s="191">
        <f t="shared" si="2"/>
        <v>508</v>
      </c>
      <c r="F48" s="191">
        <f>F49+F50+F51</f>
        <v>93</v>
      </c>
      <c r="G48" s="191">
        <f t="shared" si="2"/>
        <v>133</v>
      </c>
      <c r="H48" s="191">
        <f t="shared" si="2"/>
        <v>138.5</v>
      </c>
      <c r="I48" s="191">
        <f t="shared" si="2"/>
        <v>143.5</v>
      </c>
    </row>
    <row r="49" spans="1:9" ht="75" customHeight="1">
      <c r="A49" s="194" t="s">
        <v>219</v>
      </c>
      <c r="B49" s="112" t="s">
        <v>185</v>
      </c>
      <c r="C49" s="193">
        <v>71.73</v>
      </c>
      <c r="D49" s="193">
        <v>30</v>
      </c>
      <c r="E49" s="191">
        <f t="shared" si="1"/>
        <v>155</v>
      </c>
      <c r="F49" s="193">
        <v>30</v>
      </c>
      <c r="G49" s="193">
        <v>40</v>
      </c>
      <c r="H49" s="193">
        <v>45</v>
      </c>
      <c r="I49" s="193">
        <v>40</v>
      </c>
    </row>
    <row r="50" spans="1:9" ht="21" customHeight="1">
      <c r="A50" s="194" t="s">
        <v>202</v>
      </c>
      <c r="B50" s="112" t="s">
        <v>186</v>
      </c>
      <c r="C50" s="193">
        <v>39</v>
      </c>
      <c r="D50" s="193">
        <v>0</v>
      </c>
      <c r="E50" s="191">
        <f t="shared" si="1"/>
        <v>53</v>
      </c>
      <c r="F50" s="193">
        <v>13</v>
      </c>
      <c r="G50" s="193">
        <v>13</v>
      </c>
      <c r="H50" s="193">
        <v>13.5</v>
      </c>
      <c r="I50" s="193">
        <v>13.5</v>
      </c>
    </row>
    <row r="51" spans="1:9" ht="78" customHeight="1">
      <c r="A51" s="194" t="s">
        <v>243</v>
      </c>
      <c r="B51" s="112" t="s">
        <v>187</v>
      </c>
      <c r="C51" s="193">
        <v>143.96</v>
      </c>
      <c r="D51" s="193">
        <v>230</v>
      </c>
      <c r="E51" s="191">
        <f t="shared" si="1"/>
        <v>300</v>
      </c>
      <c r="F51" s="193">
        <v>50</v>
      </c>
      <c r="G51" s="193">
        <v>80</v>
      </c>
      <c r="H51" s="193">
        <v>80</v>
      </c>
      <c r="I51" s="193">
        <v>90</v>
      </c>
    </row>
    <row r="52" spans="1:9" ht="13.5" customHeight="1">
      <c r="A52" s="190" t="s">
        <v>43</v>
      </c>
      <c r="B52" s="112">
        <v>1060</v>
      </c>
      <c r="C52" s="193"/>
      <c r="D52" s="193"/>
      <c r="E52" s="191">
        <f t="shared" si="1"/>
        <v>0</v>
      </c>
      <c r="F52" s="193"/>
      <c r="G52" s="193"/>
      <c r="H52" s="193"/>
      <c r="I52" s="193"/>
    </row>
    <row r="53" spans="1:9" ht="13.5" customHeight="1">
      <c r="A53" s="190" t="s">
        <v>44</v>
      </c>
      <c r="B53" s="112">
        <v>1061</v>
      </c>
      <c r="C53" s="193"/>
      <c r="D53" s="193"/>
      <c r="E53" s="191">
        <f t="shared" si="1"/>
        <v>0</v>
      </c>
      <c r="F53" s="193"/>
      <c r="G53" s="193"/>
      <c r="H53" s="193"/>
      <c r="I53" s="193"/>
    </row>
    <row r="54" spans="1:9" ht="27.75" customHeight="1">
      <c r="A54" s="190" t="s">
        <v>45</v>
      </c>
      <c r="B54" s="112">
        <v>1062</v>
      </c>
      <c r="C54" s="193"/>
      <c r="D54" s="193"/>
      <c r="E54" s="191">
        <f t="shared" si="1"/>
        <v>0</v>
      </c>
      <c r="F54" s="193"/>
      <c r="G54" s="193"/>
      <c r="H54" s="193"/>
      <c r="I54" s="193"/>
    </row>
    <row r="55" spans="1:9" ht="12.75" customHeight="1">
      <c r="A55" s="190" t="s">
        <v>27</v>
      </c>
      <c r="B55" s="112">
        <v>1063</v>
      </c>
      <c r="C55" s="193"/>
      <c r="D55" s="193"/>
      <c r="E55" s="191">
        <f t="shared" si="1"/>
        <v>0</v>
      </c>
      <c r="F55" s="193"/>
      <c r="G55" s="193"/>
      <c r="H55" s="193"/>
      <c r="I55" s="193"/>
    </row>
    <row r="56" spans="1:9" ht="13.5" customHeight="1">
      <c r="A56" s="190" t="s">
        <v>28</v>
      </c>
      <c r="B56" s="112">
        <v>1064</v>
      </c>
      <c r="C56" s="193"/>
      <c r="D56" s="193"/>
      <c r="E56" s="191">
        <f t="shared" si="1"/>
        <v>0</v>
      </c>
      <c r="F56" s="193"/>
      <c r="G56" s="193"/>
      <c r="H56" s="193"/>
      <c r="I56" s="193"/>
    </row>
    <row r="57" spans="1:9" ht="28.5" customHeight="1">
      <c r="A57" s="190" t="s">
        <v>46</v>
      </c>
      <c r="B57" s="112">
        <v>1065</v>
      </c>
      <c r="C57" s="193"/>
      <c r="D57" s="193"/>
      <c r="E57" s="191">
        <f t="shared" si="1"/>
        <v>0</v>
      </c>
      <c r="F57" s="193"/>
      <c r="G57" s="193"/>
      <c r="H57" s="193"/>
      <c r="I57" s="193"/>
    </row>
    <row r="58" spans="1:9" ht="13.5" customHeight="1">
      <c r="A58" s="190" t="s">
        <v>47</v>
      </c>
      <c r="B58" s="112">
        <v>1066</v>
      </c>
      <c r="C58" s="193"/>
      <c r="D58" s="193"/>
      <c r="E58" s="191">
        <f t="shared" si="1"/>
        <v>0</v>
      </c>
      <c r="F58" s="193"/>
      <c r="G58" s="193"/>
      <c r="H58" s="193"/>
      <c r="I58" s="193"/>
    </row>
    <row r="59" spans="1:9" ht="23.25" customHeight="1">
      <c r="A59" s="190" t="s">
        <v>48</v>
      </c>
      <c r="B59" s="112">
        <v>1067</v>
      </c>
      <c r="C59" s="193"/>
      <c r="D59" s="193"/>
      <c r="E59" s="191">
        <f t="shared" si="1"/>
        <v>0</v>
      </c>
      <c r="F59" s="193"/>
      <c r="G59" s="193"/>
      <c r="H59" s="193"/>
      <c r="I59" s="193"/>
    </row>
    <row r="60" spans="1:9" ht="12" customHeight="1">
      <c r="A60" s="190"/>
      <c r="B60" s="112"/>
      <c r="C60" s="193"/>
      <c r="D60" s="193"/>
      <c r="E60" s="191">
        <f t="shared" si="1"/>
        <v>0</v>
      </c>
      <c r="F60" s="193"/>
      <c r="G60" s="193"/>
      <c r="H60" s="193"/>
      <c r="I60" s="193"/>
    </row>
    <row r="61" spans="1:9" ht="27">
      <c r="A61" s="190" t="s">
        <v>133</v>
      </c>
      <c r="B61" s="112">
        <v>1070</v>
      </c>
      <c r="C61" s="191">
        <f>C62+C63+C64+C65+C66+C67+C69+C70+C71</f>
        <v>34376.3</v>
      </c>
      <c r="D61" s="193">
        <f>D67+D71+D62+D63+D64+D65+D66+D70</f>
        <v>70975.95</v>
      </c>
      <c r="E61" s="191">
        <f>F61+G61+H61+I61</f>
        <v>36800.18000000001</v>
      </c>
      <c r="F61" s="191">
        <f>F71+F67+F62+F65+F70+F68</f>
        <v>7272.1900000000005</v>
      </c>
      <c r="G61" s="191">
        <f>G71+G67+G62+G65+G70+G68</f>
        <v>10364.46</v>
      </c>
      <c r="H61" s="191">
        <f>H71+H67+H62+H65+H70+H68</f>
        <v>9592.44</v>
      </c>
      <c r="I61" s="191">
        <f>I71+I67+I62+I65+I70+I68</f>
        <v>9571.09</v>
      </c>
    </row>
    <row r="62" spans="1:9" ht="77.25" customHeight="1">
      <c r="A62" s="194" t="s">
        <v>203</v>
      </c>
      <c r="B62" s="112" t="s">
        <v>262</v>
      </c>
      <c r="C62" s="193">
        <v>28949.48</v>
      </c>
      <c r="D62" s="193">
        <v>49894.95</v>
      </c>
      <c r="E62" s="191">
        <f t="shared" si="1"/>
        <v>23650.18</v>
      </c>
      <c r="F62" s="193">
        <f>5395.13-99.7+106.76</f>
        <v>5402.1900000000005</v>
      </c>
      <c r="G62" s="193">
        <f>5697.7+106.76</f>
        <v>5804.46</v>
      </c>
      <c r="H62" s="193">
        <f>4480.68+500+106.76</f>
        <v>5087.4400000000005</v>
      </c>
      <c r="I62" s="193">
        <f>7916.44-500-167.11+106.76</f>
        <v>7356.09</v>
      </c>
    </row>
    <row r="63" spans="1:9" ht="27">
      <c r="A63" s="194" t="s">
        <v>204</v>
      </c>
      <c r="B63" s="112" t="s">
        <v>263</v>
      </c>
      <c r="C63" s="193">
        <v>627.3</v>
      </c>
      <c r="D63" s="193">
        <v>0</v>
      </c>
      <c r="E63" s="191">
        <f t="shared" si="1"/>
        <v>0</v>
      </c>
      <c r="F63" s="191"/>
      <c r="G63" s="191"/>
      <c r="H63" s="191"/>
      <c r="I63" s="191"/>
    </row>
    <row r="64" spans="1:9" ht="27">
      <c r="A64" s="192" t="s">
        <v>205</v>
      </c>
      <c r="B64" s="112" t="s">
        <v>264</v>
      </c>
      <c r="C64" s="193">
        <v>48</v>
      </c>
      <c r="D64" s="193">
        <v>96</v>
      </c>
      <c r="E64" s="191">
        <f t="shared" si="1"/>
        <v>0</v>
      </c>
      <c r="F64" s="191"/>
      <c r="G64" s="191"/>
      <c r="H64" s="191"/>
      <c r="I64" s="191"/>
    </row>
    <row r="65" spans="1:9" ht="40.5">
      <c r="A65" s="192" t="s">
        <v>206</v>
      </c>
      <c r="B65" s="112" t="s">
        <v>265</v>
      </c>
      <c r="C65" s="193">
        <v>116.7</v>
      </c>
      <c r="D65" s="193">
        <v>10050</v>
      </c>
      <c r="E65" s="191">
        <f t="shared" si="1"/>
        <v>5000</v>
      </c>
      <c r="F65" s="193">
        <v>0</v>
      </c>
      <c r="G65" s="193">
        <v>2500</v>
      </c>
      <c r="H65" s="193">
        <v>2500</v>
      </c>
      <c r="I65" s="193">
        <v>0</v>
      </c>
    </row>
    <row r="66" spans="1:9" ht="27">
      <c r="A66" s="192" t="s">
        <v>195</v>
      </c>
      <c r="B66" s="112" t="s">
        <v>266</v>
      </c>
      <c r="C66" s="193">
        <v>132</v>
      </c>
      <c r="D66" s="193">
        <v>130</v>
      </c>
      <c r="E66" s="191">
        <f t="shared" si="1"/>
        <v>0</v>
      </c>
      <c r="F66" s="191"/>
      <c r="G66" s="191"/>
      <c r="H66" s="191"/>
      <c r="I66" s="191"/>
    </row>
    <row r="67" spans="1:9" ht="62.25" customHeight="1">
      <c r="A67" s="192" t="s">
        <v>220</v>
      </c>
      <c r="B67" s="112" t="s">
        <v>267</v>
      </c>
      <c r="C67" s="193">
        <v>2086.22</v>
      </c>
      <c r="D67" s="193">
        <v>7805</v>
      </c>
      <c r="E67" s="191">
        <f t="shared" si="1"/>
        <v>6385</v>
      </c>
      <c r="F67" s="193">
        <f>1500</f>
        <v>1500</v>
      </c>
      <c r="G67" s="193">
        <f>1585</f>
        <v>1585</v>
      </c>
      <c r="H67" s="193">
        <f>1600</f>
        <v>1600</v>
      </c>
      <c r="I67" s="193">
        <f>1700</f>
        <v>1700</v>
      </c>
    </row>
    <row r="68" spans="1:9" ht="36" customHeight="1">
      <c r="A68" s="192" t="s">
        <v>242</v>
      </c>
      <c r="B68" s="112" t="s">
        <v>268</v>
      </c>
      <c r="C68" s="193"/>
      <c r="D68" s="193"/>
      <c r="E68" s="191">
        <f t="shared" si="1"/>
        <v>765</v>
      </c>
      <c r="F68" s="193">
        <f>130+40</f>
        <v>170</v>
      </c>
      <c r="G68" s="193">
        <f>135+40</f>
        <v>175</v>
      </c>
      <c r="H68" s="193">
        <f>150+55</f>
        <v>205</v>
      </c>
      <c r="I68" s="193">
        <f>150+65</f>
        <v>215</v>
      </c>
    </row>
    <row r="69" spans="1:9" ht="47.25" customHeight="1">
      <c r="A69" s="192" t="s">
        <v>199</v>
      </c>
      <c r="B69" s="112" t="s">
        <v>269</v>
      </c>
      <c r="C69" s="193">
        <f>608.6+20.98</f>
        <v>629.58</v>
      </c>
      <c r="D69" s="193"/>
      <c r="E69" s="191">
        <f t="shared" si="1"/>
        <v>0</v>
      </c>
      <c r="F69" s="193"/>
      <c r="G69" s="193"/>
      <c r="H69" s="193"/>
      <c r="I69" s="193"/>
    </row>
    <row r="70" spans="1:9" ht="29.25" customHeight="1">
      <c r="A70" s="192" t="s">
        <v>215</v>
      </c>
      <c r="B70" s="112" t="s">
        <v>270</v>
      </c>
      <c r="C70" s="193">
        <v>1717.79</v>
      </c>
      <c r="D70" s="193">
        <v>3000</v>
      </c>
      <c r="E70" s="191">
        <f t="shared" si="1"/>
        <v>1000</v>
      </c>
      <c r="F70" s="193">
        <v>200</v>
      </c>
      <c r="G70" s="193">
        <v>300</v>
      </c>
      <c r="H70" s="193">
        <v>200</v>
      </c>
      <c r="I70" s="193">
        <v>300</v>
      </c>
    </row>
    <row r="71" spans="1:9" ht="20.25" customHeight="1">
      <c r="A71" s="195" t="s">
        <v>198</v>
      </c>
      <c r="B71" s="113">
        <v>1071</v>
      </c>
      <c r="C71" s="193">
        <v>69.23</v>
      </c>
      <c r="D71" s="193"/>
      <c r="E71" s="191">
        <f t="shared" si="1"/>
        <v>0</v>
      </c>
      <c r="F71" s="193"/>
      <c r="G71" s="193"/>
      <c r="H71" s="193"/>
      <c r="I71" s="193"/>
    </row>
    <row r="72" spans="1:9" ht="16.5" customHeight="1">
      <c r="A72" s="195"/>
      <c r="B72" s="113"/>
      <c r="C72" s="193"/>
      <c r="D72" s="193"/>
      <c r="E72" s="191"/>
      <c r="F72" s="193"/>
      <c r="G72" s="193"/>
      <c r="H72" s="193"/>
      <c r="I72" s="193"/>
    </row>
    <row r="73" spans="1:9" ht="27">
      <c r="A73" s="196" t="s">
        <v>49</v>
      </c>
      <c r="B73" s="112">
        <v>1080</v>
      </c>
      <c r="C73" s="191">
        <f>C74+C75+C76+C77+C78+C79+C80+C81+C82+C83+C84+C85+C87+C88</f>
        <v>89620.27999999998</v>
      </c>
      <c r="D73" s="193">
        <f>D74+D75+D76+D77+D78+D79+D80+D81+D82+D83+D84+D85+D86+D88+D89</f>
        <v>71719.26999999999</v>
      </c>
      <c r="E73" s="191">
        <f>F73+G73+H73+I73+0.01</f>
        <v>36285.184476200004</v>
      </c>
      <c r="F73" s="191">
        <f>F76+F77+F78+F79+F80+F81+F82+F85+F86+F88+F89</f>
        <v>7352.187920000001</v>
      </c>
      <c r="G73" s="191">
        <f>G76+G77+G78+G79+G80+G81+G82+G85+G86+G88+G89</f>
        <v>10189.45725</v>
      </c>
      <c r="H73" s="191">
        <f>H76+H77+H78+H79+H80+H81+H82+H85+H86+H88+H89</f>
        <v>9387.435618</v>
      </c>
      <c r="I73" s="191">
        <f>I76+I77+I78+I79+I80+I81+I82+I85+I86+I88+I89</f>
        <v>9356.0936882</v>
      </c>
    </row>
    <row r="74" spans="1:9" ht="27">
      <c r="A74" s="194" t="s">
        <v>271</v>
      </c>
      <c r="B74" s="112" t="s">
        <v>184</v>
      </c>
      <c r="C74" s="193">
        <v>627.3</v>
      </c>
      <c r="D74" s="193">
        <v>0</v>
      </c>
      <c r="E74" s="191">
        <f aca="true" t="shared" si="3" ref="E74:E89">F74+G74+H74+I74</f>
        <v>0</v>
      </c>
      <c r="F74" s="191"/>
      <c r="G74" s="191"/>
      <c r="H74" s="191"/>
      <c r="I74" s="191"/>
    </row>
    <row r="75" spans="1:9" ht="40.5">
      <c r="A75" s="192" t="s">
        <v>272</v>
      </c>
      <c r="B75" s="112" t="s">
        <v>192</v>
      </c>
      <c r="C75" s="193">
        <v>48</v>
      </c>
      <c r="D75" s="193">
        <v>96</v>
      </c>
      <c r="E75" s="191">
        <f t="shared" si="3"/>
        <v>0</v>
      </c>
      <c r="F75" s="191"/>
      <c r="G75" s="191"/>
      <c r="H75" s="191"/>
      <c r="I75" s="191"/>
    </row>
    <row r="76" spans="1:9" ht="15">
      <c r="A76" s="194" t="s">
        <v>27</v>
      </c>
      <c r="B76" s="112" t="s">
        <v>273</v>
      </c>
      <c r="C76" s="193">
        <v>55143.44</v>
      </c>
      <c r="D76" s="193">
        <v>25476.31</v>
      </c>
      <c r="E76" s="191">
        <f t="shared" si="3"/>
        <v>10044.9</v>
      </c>
      <c r="F76" s="193">
        <v>2000</v>
      </c>
      <c r="G76" s="193">
        <v>2500</v>
      </c>
      <c r="H76" s="193">
        <v>2411</v>
      </c>
      <c r="I76" s="193">
        <f>3544.9-411</f>
        <v>3133.9</v>
      </c>
    </row>
    <row r="77" spans="1:9" ht="15">
      <c r="A77" s="194" t="s">
        <v>28</v>
      </c>
      <c r="B77" s="112" t="s">
        <v>274</v>
      </c>
      <c r="C77" s="193">
        <v>11947.39</v>
      </c>
      <c r="D77" s="193">
        <v>5548</v>
      </c>
      <c r="E77" s="191">
        <v>2150</v>
      </c>
      <c r="F77" s="193">
        <f>F76*21.403896/100</f>
        <v>428.07792</v>
      </c>
      <c r="G77" s="193">
        <f>G76*21.40389/100</f>
        <v>535.09725</v>
      </c>
      <c r="H77" s="193">
        <f>H76*21.4038/100+1.03</f>
        <v>517.075618</v>
      </c>
      <c r="I77" s="193">
        <f>I76*21.4038/100-1.03</f>
        <v>669.7436882000001</v>
      </c>
    </row>
    <row r="78" spans="1:9" ht="27">
      <c r="A78" s="194" t="s">
        <v>208</v>
      </c>
      <c r="B78" s="112" t="s">
        <v>275</v>
      </c>
      <c r="C78" s="193">
        <v>8941.83</v>
      </c>
      <c r="D78" s="193">
        <v>5750</v>
      </c>
      <c r="E78" s="191">
        <f t="shared" si="3"/>
        <v>830</v>
      </c>
      <c r="F78" s="193">
        <v>200</v>
      </c>
      <c r="G78" s="193">
        <v>330</v>
      </c>
      <c r="H78" s="193">
        <v>200</v>
      </c>
      <c r="I78" s="193">
        <v>100</v>
      </c>
    </row>
    <row r="79" spans="1:9" ht="15">
      <c r="A79" s="194" t="s">
        <v>209</v>
      </c>
      <c r="B79" s="112" t="s">
        <v>276</v>
      </c>
      <c r="C79" s="193">
        <v>1219.45</v>
      </c>
      <c r="D79" s="193">
        <v>2100</v>
      </c>
      <c r="E79" s="191">
        <f t="shared" si="3"/>
        <v>2410.2</v>
      </c>
      <c r="F79" s="193">
        <v>250</v>
      </c>
      <c r="G79" s="193">
        <v>600</v>
      </c>
      <c r="H79" s="193">
        <v>600</v>
      </c>
      <c r="I79" s="193">
        <v>960.2</v>
      </c>
    </row>
    <row r="80" spans="1:9" ht="27">
      <c r="A80" s="194" t="s">
        <v>210</v>
      </c>
      <c r="B80" s="112" t="s">
        <v>277</v>
      </c>
      <c r="C80" s="193">
        <v>5037.62</v>
      </c>
      <c r="D80" s="193">
        <v>7500.14</v>
      </c>
      <c r="E80" s="191">
        <f>F80+G80+H80+I80</f>
        <v>7160.58</v>
      </c>
      <c r="F80" s="193">
        <f>2200.65+106.76</f>
        <v>2307.4100000000003</v>
      </c>
      <c r="G80" s="193">
        <f>1400+106.76</f>
        <v>1506.76</v>
      </c>
      <c r="H80" s="193">
        <f>1000+106.76</f>
        <v>1106.76</v>
      </c>
      <c r="I80" s="193">
        <f>2132.89+106.76</f>
        <v>2239.65</v>
      </c>
    </row>
    <row r="81" spans="1:9" ht="27">
      <c r="A81" s="194" t="s">
        <v>223</v>
      </c>
      <c r="B81" s="112" t="s">
        <v>278</v>
      </c>
      <c r="C81" s="193">
        <v>561.9</v>
      </c>
      <c r="D81" s="193">
        <v>652.5</v>
      </c>
      <c r="E81" s="191">
        <f t="shared" si="3"/>
        <v>530.4</v>
      </c>
      <c r="F81" s="193">
        <v>132.6</v>
      </c>
      <c r="G81" s="193">
        <v>132.6</v>
      </c>
      <c r="H81" s="193">
        <v>132.6</v>
      </c>
      <c r="I81" s="193">
        <v>132.6</v>
      </c>
    </row>
    <row r="82" spans="1:9" ht="81">
      <c r="A82" s="194" t="s">
        <v>211</v>
      </c>
      <c r="B82" s="112" t="s">
        <v>279</v>
      </c>
      <c r="C82" s="193">
        <v>914.58</v>
      </c>
      <c r="D82" s="193">
        <v>1300</v>
      </c>
      <c r="E82" s="191">
        <f t="shared" si="3"/>
        <v>524.1</v>
      </c>
      <c r="F82" s="193">
        <v>84.1</v>
      </c>
      <c r="G82" s="193">
        <v>200</v>
      </c>
      <c r="H82" s="193">
        <v>120</v>
      </c>
      <c r="I82" s="193">
        <v>120</v>
      </c>
    </row>
    <row r="83" spans="1:9" ht="15">
      <c r="A83" s="194" t="s">
        <v>212</v>
      </c>
      <c r="B83" s="112" t="s">
        <v>280</v>
      </c>
      <c r="C83" s="193">
        <v>2649.37</v>
      </c>
      <c r="D83" s="193">
        <v>1568</v>
      </c>
      <c r="E83" s="191">
        <f t="shared" si="3"/>
        <v>0</v>
      </c>
      <c r="F83" s="191"/>
      <c r="G83" s="191"/>
      <c r="H83" s="191"/>
      <c r="I83" s="191"/>
    </row>
    <row r="84" spans="1:9" ht="40.5">
      <c r="A84" s="192" t="s">
        <v>213</v>
      </c>
      <c r="B84" s="112" t="s">
        <v>281</v>
      </c>
      <c r="C84" s="193">
        <v>86.31</v>
      </c>
      <c r="D84" s="193">
        <v>130</v>
      </c>
      <c r="E84" s="191">
        <f t="shared" si="3"/>
        <v>0</v>
      </c>
      <c r="F84" s="191"/>
      <c r="G84" s="191"/>
      <c r="H84" s="191"/>
      <c r="I84" s="191"/>
    </row>
    <row r="85" spans="1:9" ht="21" customHeight="1">
      <c r="A85" s="196" t="s">
        <v>214</v>
      </c>
      <c r="B85" s="112" t="s">
        <v>282</v>
      </c>
      <c r="C85" s="193">
        <v>116.7</v>
      </c>
      <c r="D85" s="193">
        <v>10050</v>
      </c>
      <c r="E85" s="191">
        <f t="shared" si="3"/>
        <v>5000</v>
      </c>
      <c r="F85" s="193">
        <v>0</v>
      </c>
      <c r="G85" s="193">
        <v>2500</v>
      </c>
      <c r="H85" s="193">
        <v>2500</v>
      </c>
      <c r="I85" s="193">
        <v>0</v>
      </c>
    </row>
    <row r="86" spans="1:9" ht="27">
      <c r="A86" s="196" t="s">
        <v>218</v>
      </c>
      <c r="B86" s="112" t="s">
        <v>283</v>
      </c>
      <c r="C86" s="193"/>
      <c r="D86" s="193">
        <v>943.32</v>
      </c>
      <c r="E86" s="191">
        <f t="shared" si="3"/>
        <v>250</v>
      </c>
      <c r="F86" s="193">
        <v>250</v>
      </c>
      <c r="G86" s="191"/>
      <c r="H86" s="191"/>
      <c r="I86" s="191"/>
    </row>
    <row r="87" spans="1:9" ht="30" customHeight="1">
      <c r="A87" s="194" t="s">
        <v>201</v>
      </c>
      <c r="B87" s="112" t="s">
        <v>284</v>
      </c>
      <c r="C87" s="193">
        <v>608.6</v>
      </c>
      <c r="D87" s="193"/>
      <c r="E87" s="191">
        <f t="shared" si="3"/>
        <v>0</v>
      </c>
      <c r="F87" s="191"/>
      <c r="G87" s="191"/>
      <c r="H87" s="191"/>
      <c r="I87" s="191"/>
    </row>
    <row r="88" spans="1:9" ht="32.25" customHeight="1">
      <c r="A88" s="192" t="s">
        <v>216</v>
      </c>
      <c r="B88" s="112" t="s">
        <v>285</v>
      </c>
      <c r="C88" s="193">
        <v>1717.79</v>
      </c>
      <c r="D88" s="193">
        <v>3000</v>
      </c>
      <c r="E88" s="191">
        <f t="shared" si="3"/>
        <v>1000</v>
      </c>
      <c r="F88" s="193">
        <v>200</v>
      </c>
      <c r="G88" s="193">
        <v>300</v>
      </c>
      <c r="H88" s="193">
        <v>200</v>
      </c>
      <c r="I88" s="193">
        <v>300</v>
      </c>
    </row>
    <row r="89" spans="1:9" ht="53.25" customHeight="1">
      <c r="A89" s="194" t="s">
        <v>306</v>
      </c>
      <c r="B89" s="112" t="s">
        <v>286</v>
      </c>
      <c r="C89" s="193"/>
      <c r="D89" s="193">
        <v>7605</v>
      </c>
      <c r="E89" s="191">
        <f t="shared" si="3"/>
        <v>6385</v>
      </c>
      <c r="F89" s="193">
        <v>1500</v>
      </c>
      <c r="G89" s="193">
        <v>1585</v>
      </c>
      <c r="H89" s="193">
        <v>1600</v>
      </c>
      <c r="I89" s="193">
        <v>1700</v>
      </c>
    </row>
    <row r="90" spans="1:9" ht="27">
      <c r="A90" s="189" t="s">
        <v>50</v>
      </c>
      <c r="B90" s="114">
        <v>1100</v>
      </c>
      <c r="C90" s="191"/>
      <c r="D90" s="193"/>
      <c r="E90" s="191">
        <f t="shared" si="1"/>
        <v>0</v>
      </c>
      <c r="F90" s="191"/>
      <c r="G90" s="191"/>
      <c r="H90" s="191"/>
      <c r="I90" s="191"/>
    </row>
    <row r="91" spans="1:9" ht="27">
      <c r="A91" s="190" t="s">
        <v>51</v>
      </c>
      <c r="B91" s="112">
        <v>1110</v>
      </c>
      <c r="C91" s="193"/>
      <c r="D91" s="193"/>
      <c r="E91" s="191">
        <f t="shared" si="1"/>
        <v>0</v>
      </c>
      <c r="F91" s="193"/>
      <c r="G91" s="193"/>
      <c r="H91" s="193"/>
      <c r="I91" s="193"/>
    </row>
    <row r="92" spans="1:9" ht="15" customHeight="1">
      <c r="A92" s="190"/>
      <c r="B92" s="112"/>
      <c r="C92" s="193"/>
      <c r="D92" s="193"/>
      <c r="E92" s="191">
        <f t="shared" si="1"/>
        <v>0</v>
      </c>
      <c r="F92" s="193"/>
      <c r="G92" s="193"/>
      <c r="H92" s="193"/>
      <c r="I92" s="193"/>
    </row>
    <row r="93" spans="1:9" ht="27">
      <c r="A93" s="190" t="s">
        <v>52</v>
      </c>
      <c r="B93" s="112">
        <v>1120</v>
      </c>
      <c r="C93" s="193"/>
      <c r="D93" s="193"/>
      <c r="E93" s="191">
        <f t="shared" si="1"/>
        <v>0</v>
      </c>
      <c r="F93" s="193"/>
      <c r="G93" s="193"/>
      <c r="H93" s="193"/>
      <c r="I93" s="193"/>
    </row>
    <row r="94" spans="1:9" ht="14.25" customHeight="1">
      <c r="A94" s="190"/>
      <c r="B94" s="112"/>
      <c r="C94" s="193"/>
      <c r="D94" s="193"/>
      <c r="E94" s="191">
        <f t="shared" si="1"/>
        <v>0</v>
      </c>
      <c r="F94" s="193"/>
      <c r="G94" s="193"/>
      <c r="H94" s="193"/>
      <c r="I94" s="193"/>
    </row>
    <row r="95" spans="1:9" ht="25.5" customHeight="1">
      <c r="A95" s="190" t="s">
        <v>53</v>
      </c>
      <c r="B95" s="112">
        <v>1130</v>
      </c>
      <c r="C95" s="193"/>
      <c r="D95" s="193"/>
      <c r="E95" s="191">
        <f aca="true" t="shared" si="4" ref="E95:E101">F95+G95+H95+I95</f>
        <v>0</v>
      </c>
      <c r="F95" s="193"/>
      <c r="G95" s="193"/>
      <c r="H95" s="193"/>
      <c r="I95" s="193"/>
    </row>
    <row r="96" spans="1:9" ht="14.25" customHeight="1">
      <c r="A96" s="190"/>
      <c r="B96" s="112"/>
      <c r="C96" s="193"/>
      <c r="D96" s="193"/>
      <c r="E96" s="191">
        <f t="shared" si="4"/>
        <v>0</v>
      </c>
      <c r="F96" s="193"/>
      <c r="G96" s="193"/>
      <c r="H96" s="193"/>
      <c r="I96" s="193"/>
    </row>
    <row r="97" spans="1:9" ht="14.25" customHeight="1">
      <c r="A97" s="190"/>
      <c r="B97" s="112"/>
      <c r="C97" s="193"/>
      <c r="D97" s="193"/>
      <c r="E97" s="191">
        <f t="shared" si="4"/>
        <v>0</v>
      </c>
      <c r="F97" s="193"/>
      <c r="G97" s="193"/>
      <c r="H97" s="193"/>
      <c r="I97" s="193"/>
    </row>
    <row r="98" spans="1:9" ht="27" customHeight="1">
      <c r="A98" s="190" t="s">
        <v>54</v>
      </c>
      <c r="B98" s="112">
        <v>1140</v>
      </c>
      <c r="C98" s="193"/>
      <c r="D98" s="193"/>
      <c r="E98" s="191">
        <f t="shared" si="4"/>
        <v>0</v>
      </c>
      <c r="F98" s="193"/>
      <c r="G98" s="193"/>
      <c r="H98" s="193"/>
      <c r="I98" s="193"/>
    </row>
    <row r="99" spans="1:9" ht="12" customHeight="1">
      <c r="A99" s="190"/>
      <c r="B99" s="112"/>
      <c r="C99" s="193"/>
      <c r="D99" s="193"/>
      <c r="E99" s="191">
        <f t="shared" si="4"/>
        <v>0</v>
      </c>
      <c r="F99" s="193"/>
      <c r="G99" s="193"/>
      <c r="H99" s="193"/>
      <c r="I99" s="193"/>
    </row>
    <row r="100" spans="1:9" ht="12" customHeight="1">
      <c r="A100" s="190"/>
      <c r="B100" s="112"/>
      <c r="C100" s="193"/>
      <c r="D100" s="193"/>
      <c r="E100" s="191">
        <f t="shared" si="4"/>
        <v>0</v>
      </c>
      <c r="F100" s="193"/>
      <c r="G100" s="193"/>
      <c r="H100" s="193"/>
      <c r="I100" s="193"/>
    </row>
    <row r="101" spans="1:9" ht="15">
      <c r="A101" s="190" t="s">
        <v>163</v>
      </c>
      <c r="B101" s="112">
        <v>1150</v>
      </c>
      <c r="C101" s="193">
        <f>C102</f>
        <v>0</v>
      </c>
      <c r="D101" s="193">
        <f>D102</f>
        <v>0</v>
      </c>
      <c r="E101" s="191">
        <f t="shared" si="4"/>
        <v>0</v>
      </c>
      <c r="F101" s="193">
        <f>F102</f>
        <v>0</v>
      </c>
      <c r="G101" s="193">
        <f>G102</f>
        <v>0</v>
      </c>
      <c r="H101" s="193">
        <f>H102</f>
        <v>0</v>
      </c>
      <c r="I101" s="193">
        <f>I102</f>
        <v>0</v>
      </c>
    </row>
    <row r="102" spans="1:9" ht="15">
      <c r="A102" s="190"/>
      <c r="B102" s="112"/>
      <c r="C102" s="193"/>
      <c r="D102" s="193"/>
      <c r="E102" s="191"/>
      <c r="F102" s="193"/>
      <c r="G102" s="193"/>
      <c r="H102" s="193"/>
      <c r="I102" s="193"/>
    </row>
    <row r="103" spans="1:9" ht="15">
      <c r="A103" s="190" t="s">
        <v>17</v>
      </c>
      <c r="B103" s="112">
        <v>1160</v>
      </c>
      <c r="C103" s="191"/>
      <c r="D103" s="193">
        <f>D104</f>
        <v>0</v>
      </c>
      <c r="E103" s="191">
        <f aca="true" t="shared" si="5" ref="E103:E109">F103+G103+H103+I103</f>
        <v>0</v>
      </c>
      <c r="F103" s="193">
        <f>F104</f>
        <v>0</v>
      </c>
      <c r="G103" s="193">
        <f>G104</f>
        <v>0</v>
      </c>
      <c r="H103" s="193">
        <f>H104</f>
        <v>0</v>
      </c>
      <c r="I103" s="193">
        <f>I104</f>
        <v>0</v>
      </c>
    </row>
    <row r="104" spans="1:9" ht="14.25" customHeight="1">
      <c r="A104" s="197"/>
      <c r="B104" s="112"/>
      <c r="C104" s="193"/>
      <c r="D104" s="193"/>
      <c r="E104" s="191">
        <f t="shared" si="5"/>
        <v>0</v>
      </c>
      <c r="F104" s="191"/>
      <c r="G104" s="193"/>
      <c r="H104" s="193"/>
      <c r="I104" s="191"/>
    </row>
    <row r="105" spans="1:9" ht="27">
      <c r="A105" s="189" t="s">
        <v>55</v>
      </c>
      <c r="B105" s="114">
        <v>1170</v>
      </c>
      <c r="C105" s="191"/>
      <c r="D105" s="193"/>
      <c r="E105" s="191">
        <f t="shared" si="5"/>
        <v>0</v>
      </c>
      <c r="F105" s="191"/>
      <c r="G105" s="191"/>
      <c r="H105" s="191"/>
      <c r="I105" s="191"/>
    </row>
    <row r="106" spans="1:9" ht="30" customHeight="1">
      <c r="A106" s="190" t="s">
        <v>56</v>
      </c>
      <c r="B106" s="42">
        <v>1180</v>
      </c>
      <c r="C106" s="193"/>
      <c r="D106" s="193"/>
      <c r="E106" s="191">
        <f t="shared" si="5"/>
        <v>0</v>
      </c>
      <c r="F106" s="193"/>
      <c r="G106" s="193"/>
      <c r="H106" s="193"/>
      <c r="I106" s="193"/>
    </row>
    <row r="107" spans="1:9" ht="15">
      <c r="A107" s="190" t="s">
        <v>57</v>
      </c>
      <c r="B107" s="42">
        <v>1181</v>
      </c>
      <c r="C107" s="193"/>
      <c r="D107" s="193"/>
      <c r="E107" s="191">
        <f t="shared" si="5"/>
        <v>0</v>
      </c>
      <c r="F107" s="193"/>
      <c r="G107" s="193"/>
      <c r="H107" s="193"/>
      <c r="I107" s="193"/>
    </row>
    <row r="108" spans="1:9" ht="27">
      <c r="A108" s="189" t="s">
        <v>58</v>
      </c>
      <c r="B108" s="114">
        <v>1200</v>
      </c>
      <c r="C108" s="191"/>
      <c r="D108" s="191">
        <f>D111-D112</f>
        <v>0</v>
      </c>
      <c r="E108" s="191">
        <f t="shared" si="5"/>
        <v>0.0055443240016757045</v>
      </c>
      <c r="F108" s="191">
        <f>F111-F112</f>
        <v>0.0009600000012142118</v>
      </c>
      <c r="G108" s="191">
        <f>G111-G112</f>
        <v>0.0013499999986379407</v>
      </c>
      <c r="H108" s="191">
        <f>H111-H112</f>
        <v>-0.000386451996746473</v>
      </c>
      <c r="I108" s="191">
        <f>I111-I112</f>
        <v>0.003620775998570025</v>
      </c>
    </row>
    <row r="109" spans="1:9" ht="15">
      <c r="A109" s="190" t="s">
        <v>59</v>
      </c>
      <c r="B109" s="110">
        <v>1201</v>
      </c>
      <c r="C109" s="193">
        <f>C111-C112</f>
        <v>6620.700000000026</v>
      </c>
      <c r="D109" s="193"/>
      <c r="E109" s="191">
        <f t="shared" si="5"/>
        <v>0.0055443240016757045</v>
      </c>
      <c r="F109" s="193">
        <f>F108</f>
        <v>0.0009600000012142118</v>
      </c>
      <c r="G109" s="193">
        <f>G108</f>
        <v>0.0013499999986379407</v>
      </c>
      <c r="H109" s="193">
        <f>H108</f>
        <v>-0.000386451996746473</v>
      </c>
      <c r="I109" s="193">
        <f>I108</f>
        <v>0.003620775998570025</v>
      </c>
    </row>
    <row r="110" spans="1:9" ht="15">
      <c r="A110" s="190" t="s">
        <v>60</v>
      </c>
      <c r="B110" s="110">
        <v>1202</v>
      </c>
      <c r="C110" s="193"/>
      <c r="D110" s="193"/>
      <c r="E110" s="191"/>
      <c r="F110" s="193"/>
      <c r="G110" s="193"/>
      <c r="H110" s="193"/>
      <c r="I110" s="193"/>
    </row>
    <row r="111" spans="1:9" ht="15">
      <c r="A111" s="189" t="s">
        <v>61</v>
      </c>
      <c r="B111" s="112">
        <v>1210</v>
      </c>
      <c r="C111" s="191">
        <f aca="true" t="shared" si="6" ref="C111:I111">C9+C61</f>
        <v>111353.90000000001</v>
      </c>
      <c r="D111" s="191">
        <f t="shared" si="6"/>
        <v>149665.33000000002</v>
      </c>
      <c r="E111" s="191">
        <f t="shared" si="6"/>
        <v>130883.18000000001</v>
      </c>
      <c r="F111" s="191">
        <f t="shared" si="6"/>
        <v>26809.690000000002</v>
      </c>
      <c r="G111" s="191">
        <f t="shared" si="6"/>
        <v>33687.71</v>
      </c>
      <c r="H111" s="191">
        <f t="shared" si="6"/>
        <v>34042.69</v>
      </c>
      <c r="I111" s="191">
        <f t="shared" si="6"/>
        <v>36343.09</v>
      </c>
    </row>
    <row r="112" spans="1:9" ht="15">
      <c r="A112" s="189" t="s">
        <v>62</v>
      </c>
      <c r="B112" s="112">
        <v>1220</v>
      </c>
      <c r="C112" s="191">
        <f>C14+C26+C73</f>
        <v>104733.19999999998</v>
      </c>
      <c r="D112" s="191">
        <f>D26+D14+D73+D103</f>
        <v>149665.33</v>
      </c>
      <c r="E112" s="191">
        <f>F112+G112+H112+I112+0.01</f>
        <v>130883.18445567599</v>
      </c>
      <c r="F112" s="191">
        <f>F14+F26+F73</f>
        <v>26809.68904</v>
      </c>
      <c r="G112" s="191">
        <f>G14+G26+G73</f>
        <v>33687.70865</v>
      </c>
      <c r="H112" s="191">
        <f>H14+H26+H73</f>
        <v>34042.690386452</v>
      </c>
      <c r="I112" s="191">
        <f>I14+I26+I73</f>
        <v>36343.086379224</v>
      </c>
    </row>
    <row r="113" spans="1:9" ht="14.25" customHeight="1">
      <c r="A113" s="198" t="s">
        <v>164</v>
      </c>
      <c r="B113" s="198"/>
      <c r="C113" s="198"/>
      <c r="D113" s="198"/>
      <c r="E113" s="198"/>
      <c r="F113" s="198"/>
      <c r="G113" s="198"/>
      <c r="H113" s="198"/>
      <c r="I113" s="198"/>
    </row>
    <row r="114" spans="1:9" ht="29.25" customHeight="1">
      <c r="A114" s="199" t="s">
        <v>165</v>
      </c>
      <c r="B114" s="112">
        <v>1300</v>
      </c>
      <c r="C114" s="94">
        <v>17809.37</v>
      </c>
      <c r="D114" s="93">
        <f>D115+D116</f>
        <v>31750.14</v>
      </c>
      <c r="E114" s="93">
        <f>F114+G114+H114+I114</f>
        <v>20406.78</v>
      </c>
      <c r="F114" s="93">
        <f>F115+F116</f>
        <v>4852.51</v>
      </c>
      <c r="G114" s="93">
        <f>G115+G116</f>
        <v>4887.76</v>
      </c>
      <c r="H114" s="93">
        <f>H115+H116</f>
        <v>4277.76</v>
      </c>
      <c r="I114" s="93">
        <f>I115+I116</f>
        <v>6388.75</v>
      </c>
    </row>
    <row r="115" spans="1:9" ht="29.25" customHeight="1">
      <c r="A115" s="190" t="s">
        <v>166</v>
      </c>
      <c r="B115" s="117">
        <v>1301</v>
      </c>
      <c r="C115" s="118">
        <v>12771.75</v>
      </c>
      <c r="D115" s="93">
        <v>24250</v>
      </c>
      <c r="E115" s="93">
        <f aca="true" t="shared" si="7" ref="E115:E120">F115+G115+H115+I115</f>
        <v>13246.2</v>
      </c>
      <c r="F115" s="93">
        <f>F15+F20+F27+F51+F78+F79+F82</f>
        <v>2545.1</v>
      </c>
      <c r="G115" s="93">
        <f>G15+G20+G27+G51+G78+G79+G82</f>
        <v>3381</v>
      </c>
      <c r="H115" s="93">
        <f>H15+H20+H27+H51+H78+H79+H82</f>
        <v>3171</v>
      </c>
      <c r="I115" s="93">
        <f>I15+I20+I27+I51+I78+I79+I82</f>
        <v>4149.1</v>
      </c>
    </row>
    <row r="116" spans="1:9" ht="15">
      <c r="A116" s="190" t="s">
        <v>167</v>
      </c>
      <c r="B116" s="117">
        <v>1302</v>
      </c>
      <c r="C116" s="118">
        <f>C80</f>
        <v>5037.62</v>
      </c>
      <c r="D116" s="93">
        <v>7500.14</v>
      </c>
      <c r="E116" s="93">
        <f t="shared" si="7"/>
        <v>7160.58</v>
      </c>
      <c r="F116" s="93">
        <f>F80</f>
        <v>2307.4100000000003</v>
      </c>
      <c r="G116" s="93">
        <f>G80</f>
        <v>1506.76</v>
      </c>
      <c r="H116" s="93">
        <f>H80</f>
        <v>1106.76</v>
      </c>
      <c r="I116" s="93">
        <f>I80</f>
        <v>2239.65</v>
      </c>
    </row>
    <row r="117" spans="1:9" ht="15">
      <c r="A117" s="190" t="s">
        <v>13</v>
      </c>
      <c r="B117" s="119">
        <v>1310</v>
      </c>
      <c r="C117" s="118">
        <v>65662.52</v>
      </c>
      <c r="D117" s="93">
        <v>82851.09</v>
      </c>
      <c r="E117" s="93">
        <f>F117+G117+H117+I117</f>
        <v>78900</v>
      </c>
      <c r="F117" s="93">
        <f>F18+F34+F76</f>
        <v>16100</v>
      </c>
      <c r="G117" s="93">
        <f>G18+G34+G76</f>
        <v>19700</v>
      </c>
      <c r="H117" s="93">
        <f>H18+H34+H76</f>
        <v>20533.7</v>
      </c>
      <c r="I117" s="93">
        <f>I18+I34+I76</f>
        <v>22566.3</v>
      </c>
    </row>
    <row r="118" spans="1:9" ht="15">
      <c r="A118" s="190" t="s">
        <v>14</v>
      </c>
      <c r="B118" s="119">
        <v>1320</v>
      </c>
      <c r="C118" s="118">
        <v>14179.79</v>
      </c>
      <c r="D118" s="93">
        <v>18098.95</v>
      </c>
      <c r="E118" s="93">
        <f>F118+G118+H118+I118+0.01</f>
        <v>16979.004455676</v>
      </c>
      <c r="F118" s="93">
        <f>F19+F56+F35+F77</f>
        <v>3464.57904</v>
      </c>
      <c r="G118" s="93">
        <f>G19+G56+G35+G77</f>
        <v>4239.34865</v>
      </c>
      <c r="H118" s="93">
        <f>H19+H56+H35+H77</f>
        <v>4420.130386452</v>
      </c>
      <c r="I118" s="93">
        <f>I19+I56+I35+I77</f>
        <v>4854.936379224</v>
      </c>
    </row>
    <row r="119" spans="1:9" ht="15">
      <c r="A119" s="190" t="s">
        <v>168</v>
      </c>
      <c r="B119" s="119">
        <v>1330</v>
      </c>
      <c r="C119" s="118">
        <v>4541</v>
      </c>
      <c r="D119" s="93">
        <v>7805</v>
      </c>
      <c r="E119" s="93">
        <f t="shared" si="7"/>
        <v>7150</v>
      </c>
      <c r="F119" s="93">
        <f>F21+F36+F89</f>
        <v>1670</v>
      </c>
      <c r="G119" s="93">
        <f>G21+G36+G89</f>
        <v>1760</v>
      </c>
      <c r="H119" s="93">
        <f>H21+H36+H89</f>
        <v>1805</v>
      </c>
      <c r="I119" s="93">
        <f>I21+I36+I89</f>
        <v>1915</v>
      </c>
    </row>
    <row r="120" spans="1:9" ht="15">
      <c r="A120" s="190" t="s">
        <v>169</v>
      </c>
      <c r="B120" s="119">
        <v>1340</v>
      </c>
      <c r="C120" s="120">
        <v>2540.52</v>
      </c>
      <c r="D120" s="121">
        <v>9160.15</v>
      </c>
      <c r="E120" s="93">
        <f t="shared" si="7"/>
        <v>7447.399999999996</v>
      </c>
      <c r="F120" s="122">
        <f>F112-F114-F117-F118-F119</f>
        <v>722.6000000000026</v>
      </c>
      <c r="G120" s="122">
        <f>G112-G114-G117-G118-G119</f>
        <v>3100.5999999999985</v>
      </c>
      <c r="H120" s="122">
        <f>H112-H114-H117-H118-H119</f>
        <v>3006.0999999999967</v>
      </c>
      <c r="I120" s="122">
        <f>I112-I114-I117-I118-I119</f>
        <v>618.0999999999985</v>
      </c>
    </row>
    <row r="121" spans="1:9" ht="15">
      <c r="A121" s="111" t="s">
        <v>170</v>
      </c>
      <c r="B121" s="123">
        <v>1350</v>
      </c>
      <c r="C121" s="124">
        <f>C114+C117+C118+C119+C120</f>
        <v>104733.2</v>
      </c>
      <c r="D121" s="122">
        <f>D114+D117+D118+D119+D120</f>
        <v>149665.33</v>
      </c>
      <c r="E121" s="93">
        <f>F121+G121+H121+I121+0.01</f>
        <v>130883.18445567599</v>
      </c>
      <c r="F121" s="122">
        <f>F114+F117+F118+F119+F120</f>
        <v>26809.689040000005</v>
      </c>
      <c r="G121" s="122">
        <f>G114+G117+G118+G119+G120</f>
        <v>33687.70865</v>
      </c>
      <c r="H121" s="122">
        <f>H114+H117+H118+H119+H120</f>
        <v>34042.690386452</v>
      </c>
      <c r="I121" s="122">
        <f>I114+I117+I118+I119+I120</f>
        <v>36343.086379224</v>
      </c>
    </row>
    <row r="122" spans="1:9" ht="15">
      <c r="A122" s="97"/>
      <c r="B122" s="97"/>
      <c r="C122" s="97"/>
      <c r="D122" s="97"/>
      <c r="E122" s="97"/>
      <c r="F122" s="97"/>
      <c r="G122" s="125"/>
      <c r="H122" s="125"/>
      <c r="I122" s="125"/>
    </row>
    <row r="123" spans="1:9" ht="15" customHeight="1">
      <c r="A123" s="126" t="s">
        <v>244</v>
      </c>
      <c r="B123" s="127"/>
      <c r="C123" s="137" t="s">
        <v>245</v>
      </c>
      <c r="D123" s="138"/>
      <c r="E123" s="138"/>
      <c r="F123" s="128"/>
      <c r="G123" s="139" t="s">
        <v>246</v>
      </c>
      <c r="H123" s="139"/>
      <c r="I123" s="139"/>
    </row>
    <row r="124" spans="1:9" ht="15">
      <c r="A124" s="129" t="s">
        <v>247</v>
      </c>
      <c r="B124" s="130"/>
      <c r="C124" s="140" t="s">
        <v>90</v>
      </c>
      <c r="D124" s="140"/>
      <c r="E124" s="140"/>
      <c r="F124" s="131"/>
      <c r="G124" s="131" t="s">
        <v>89</v>
      </c>
      <c r="H124" s="97"/>
      <c r="I124" s="132"/>
    </row>
    <row r="125" spans="1:9" ht="38.25" customHeight="1">
      <c r="A125" s="126" t="s">
        <v>248</v>
      </c>
      <c r="B125" s="133"/>
      <c r="C125" s="137" t="s">
        <v>245</v>
      </c>
      <c r="D125" s="138"/>
      <c r="E125" s="138"/>
      <c r="F125" s="133"/>
      <c r="G125" s="139" t="s">
        <v>249</v>
      </c>
      <c r="H125" s="139"/>
      <c r="I125" s="139"/>
    </row>
    <row r="126" spans="1:9" ht="15">
      <c r="A126" s="129" t="s">
        <v>247</v>
      </c>
      <c r="B126" s="97"/>
      <c r="C126" s="140" t="s">
        <v>90</v>
      </c>
      <c r="D126" s="140"/>
      <c r="E126" s="140"/>
      <c r="F126" s="97"/>
      <c r="G126" s="131" t="s">
        <v>89</v>
      </c>
      <c r="H126" s="97"/>
      <c r="I126" s="97"/>
    </row>
    <row r="127" spans="1:9" ht="34.5" customHeight="1">
      <c r="A127" s="126" t="s">
        <v>250</v>
      </c>
      <c r="B127" s="127"/>
      <c r="C127" s="137" t="s">
        <v>245</v>
      </c>
      <c r="D127" s="138"/>
      <c r="E127" s="138"/>
      <c r="F127" s="128"/>
      <c r="G127" s="139" t="s">
        <v>251</v>
      </c>
      <c r="H127" s="139"/>
      <c r="I127" s="139"/>
    </row>
    <row r="128" spans="1:9" ht="15">
      <c r="A128" s="129" t="s">
        <v>247</v>
      </c>
      <c r="B128" s="130"/>
      <c r="C128" s="140" t="s">
        <v>90</v>
      </c>
      <c r="D128" s="140"/>
      <c r="E128" s="140"/>
      <c r="F128" s="131"/>
      <c r="G128" s="131" t="s">
        <v>89</v>
      </c>
      <c r="H128" s="97"/>
      <c r="I128" s="132"/>
    </row>
    <row r="129" spans="1:9" ht="15">
      <c r="A129" s="90"/>
      <c r="B129" s="90"/>
      <c r="C129" s="90"/>
      <c r="D129" s="90"/>
      <c r="E129" s="90"/>
      <c r="F129" s="90"/>
      <c r="G129" s="90"/>
      <c r="H129" s="90"/>
      <c r="I129" s="90"/>
    </row>
  </sheetData>
  <sheetProtection/>
  <mergeCells count="19">
    <mergeCell ref="G123:I123"/>
    <mergeCell ref="C124:E124"/>
    <mergeCell ref="A113:I113"/>
    <mergeCell ref="A1:I1"/>
    <mergeCell ref="G2:I2"/>
    <mergeCell ref="A3:I3"/>
    <mergeCell ref="A5:A6"/>
    <mergeCell ref="B5:B6"/>
    <mergeCell ref="C5:C6"/>
    <mergeCell ref="C127:E127"/>
    <mergeCell ref="G127:I127"/>
    <mergeCell ref="C128:E128"/>
    <mergeCell ref="D5:D6"/>
    <mergeCell ref="E5:E6"/>
    <mergeCell ref="F5:I5"/>
    <mergeCell ref="C125:E125"/>
    <mergeCell ref="G125:I125"/>
    <mergeCell ref="C126:E126"/>
    <mergeCell ref="C123:E123"/>
  </mergeCells>
  <printOptions/>
  <pageMargins left="1.1811023622047245" right="0" top="0.5905511811023623" bottom="0.5905511811023623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7"/>
  <sheetViews>
    <sheetView zoomScale="130" zoomScaleNormal="130" zoomScalePageLayoutView="0" workbookViewId="0" topLeftCell="A1">
      <selection activeCell="A2" sqref="A2:I2"/>
    </sheetView>
  </sheetViews>
  <sheetFormatPr defaultColWidth="9.140625" defaultRowHeight="12.75"/>
  <cols>
    <col min="1" max="1" width="22.00390625" style="14" customWidth="1"/>
    <col min="2" max="2" width="6.00390625" style="14" customWidth="1"/>
    <col min="3" max="3" width="10.421875" style="14" customWidth="1"/>
    <col min="4" max="4" width="11.140625" style="14" customWidth="1"/>
    <col min="5" max="5" width="9.7109375" style="14" customWidth="1"/>
    <col min="6" max="6" width="8.57421875" style="14" customWidth="1"/>
    <col min="7" max="7" width="8.421875" style="14" customWidth="1"/>
    <col min="8" max="8" width="8.57421875" style="14" customWidth="1"/>
    <col min="9" max="9" width="8.421875" style="14" customWidth="1"/>
    <col min="10" max="16384" width="9.140625" style="14" customWidth="1"/>
  </cols>
  <sheetData>
    <row r="1" spans="7:9" ht="15.75">
      <c r="G1" s="142" t="s">
        <v>150</v>
      </c>
      <c r="H1" s="142"/>
      <c r="I1" s="142"/>
    </row>
    <row r="2" spans="1:9" ht="15.75">
      <c r="A2" s="160" t="s">
        <v>63</v>
      </c>
      <c r="B2" s="160"/>
      <c r="C2" s="160"/>
      <c r="D2" s="160"/>
      <c r="E2" s="160"/>
      <c r="F2" s="160"/>
      <c r="G2" s="160"/>
      <c r="H2" s="160"/>
      <c r="I2" s="160"/>
    </row>
    <row r="3" spans="1:9" ht="7.5" customHeight="1">
      <c r="A3" s="15"/>
      <c r="B3" s="15"/>
      <c r="C3" s="15"/>
      <c r="D3" s="15"/>
      <c r="E3" s="15"/>
      <c r="F3" s="15"/>
      <c r="G3" s="15"/>
      <c r="H3" s="15"/>
      <c r="I3" s="15"/>
    </row>
    <row r="4" spans="1:9" ht="15" customHeight="1">
      <c r="A4" s="161" t="s">
        <v>1</v>
      </c>
      <c r="B4" s="162" t="s">
        <v>2</v>
      </c>
      <c r="C4" s="163" t="s">
        <v>189</v>
      </c>
      <c r="D4" s="163" t="s">
        <v>190</v>
      </c>
      <c r="E4" s="163" t="s">
        <v>191</v>
      </c>
      <c r="F4" s="163" t="s">
        <v>3</v>
      </c>
      <c r="G4" s="163"/>
      <c r="H4" s="163"/>
      <c r="I4" s="163"/>
    </row>
    <row r="5" spans="1:9" ht="51.75" customHeight="1">
      <c r="A5" s="161"/>
      <c r="B5" s="162"/>
      <c r="C5" s="163"/>
      <c r="D5" s="163"/>
      <c r="E5" s="163"/>
      <c r="F5" s="7" t="s">
        <v>4</v>
      </c>
      <c r="G5" s="7" t="s">
        <v>5</v>
      </c>
      <c r="H5" s="7" t="s">
        <v>6</v>
      </c>
      <c r="I5" s="7" t="s">
        <v>7</v>
      </c>
    </row>
    <row r="6" spans="1:9" s="13" customFormat="1" ht="12">
      <c r="A6" s="16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</row>
    <row r="7" spans="1:9" ht="14.25">
      <c r="A7" s="159" t="s">
        <v>64</v>
      </c>
      <c r="B7" s="159"/>
      <c r="C7" s="159"/>
      <c r="D7" s="159"/>
      <c r="E7" s="159"/>
      <c r="F7" s="159"/>
      <c r="G7" s="159"/>
      <c r="H7" s="159"/>
      <c r="I7" s="159"/>
    </row>
    <row r="8" spans="1:9" ht="69" customHeight="1">
      <c r="A8" s="20" t="s">
        <v>65</v>
      </c>
      <c r="B8" s="5">
        <v>2000</v>
      </c>
      <c r="C8" s="92">
        <v>-26866.5</v>
      </c>
      <c r="D8" s="10"/>
      <c r="E8" s="10"/>
      <c r="F8" s="10"/>
      <c r="G8" s="10"/>
      <c r="H8" s="10"/>
      <c r="I8" s="10"/>
    </row>
    <row r="9" spans="1:9" ht="59.25" customHeight="1">
      <c r="A9" s="20" t="s">
        <v>66</v>
      </c>
      <c r="B9" s="5">
        <v>2010</v>
      </c>
      <c r="C9" s="10"/>
      <c r="D9" s="10"/>
      <c r="E9" s="10"/>
      <c r="F9" s="10"/>
      <c r="G9" s="10"/>
      <c r="H9" s="10"/>
      <c r="I9" s="10"/>
    </row>
    <row r="10" spans="1:9" ht="15">
      <c r="A10" s="20" t="s">
        <v>67</v>
      </c>
      <c r="B10" s="5">
        <v>2030</v>
      </c>
      <c r="C10" s="10"/>
      <c r="D10" s="10"/>
      <c r="E10" s="10"/>
      <c r="F10" s="10"/>
      <c r="G10" s="10"/>
      <c r="H10" s="10"/>
      <c r="I10" s="10"/>
    </row>
    <row r="11" spans="1:9" ht="39.75" customHeight="1">
      <c r="A11" s="20" t="s">
        <v>68</v>
      </c>
      <c r="B11" s="5">
        <v>2031</v>
      </c>
      <c r="C11" s="10"/>
      <c r="D11" s="10"/>
      <c r="E11" s="10"/>
      <c r="F11" s="10"/>
      <c r="G11" s="10"/>
      <c r="H11" s="10"/>
      <c r="I11" s="10"/>
    </row>
    <row r="12" spans="1:9" ht="15">
      <c r="A12" s="20" t="s">
        <v>69</v>
      </c>
      <c r="B12" s="5">
        <v>2040</v>
      </c>
      <c r="C12" s="10"/>
      <c r="D12" s="10"/>
      <c r="E12" s="10"/>
      <c r="F12" s="10"/>
      <c r="G12" s="10"/>
      <c r="H12" s="10"/>
      <c r="I12" s="10"/>
    </row>
    <row r="13" spans="1:9" ht="30">
      <c r="A13" s="20" t="s">
        <v>70</v>
      </c>
      <c r="B13" s="5">
        <v>2050</v>
      </c>
      <c r="C13" s="10"/>
      <c r="D13" s="10"/>
      <c r="E13" s="10"/>
      <c r="F13" s="10"/>
      <c r="G13" s="10"/>
      <c r="H13" s="10"/>
      <c r="I13" s="10"/>
    </row>
    <row r="14" spans="1:9" ht="11.25" customHeight="1">
      <c r="A14" s="70"/>
      <c r="B14" s="70"/>
      <c r="C14" s="10"/>
      <c r="D14" s="10"/>
      <c r="E14" s="10"/>
      <c r="F14" s="10"/>
      <c r="G14" s="10"/>
      <c r="H14" s="10"/>
      <c r="I14" s="10"/>
    </row>
    <row r="15" spans="1:9" ht="30">
      <c r="A15" s="20" t="s">
        <v>71</v>
      </c>
      <c r="B15" s="5">
        <v>2060</v>
      </c>
      <c r="C15" s="10"/>
      <c r="D15" s="10"/>
      <c r="E15" s="10"/>
      <c r="F15" s="10"/>
      <c r="G15" s="10"/>
      <c r="H15" s="10"/>
      <c r="I15" s="10"/>
    </row>
    <row r="16" spans="1:9" ht="9.75" customHeight="1">
      <c r="A16" s="20"/>
      <c r="B16" s="5"/>
      <c r="C16" s="10"/>
      <c r="D16" s="10"/>
      <c r="E16" s="10"/>
      <c r="F16" s="10"/>
      <c r="G16" s="10"/>
      <c r="H16" s="10"/>
      <c r="I16" s="10"/>
    </row>
    <row r="17" spans="1:9" ht="67.5" customHeight="1">
      <c r="A17" s="20" t="s">
        <v>72</v>
      </c>
      <c r="B17" s="5">
        <v>2070</v>
      </c>
      <c r="C17" s="92">
        <v>22818.7</v>
      </c>
      <c r="D17" s="10"/>
      <c r="E17" s="10"/>
      <c r="F17" s="10"/>
      <c r="G17" s="10"/>
      <c r="H17" s="10"/>
      <c r="I17" s="10"/>
    </row>
    <row r="18" spans="1:9" ht="16.5" customHeight="1">
      <c r="A18" s="159" t="s">
        <v>73</v>
      </c>
      <c r="B18" s="159"/>
      <c r="C18" s="159"/>
      <c r="D18" s="159"/>
      <c r="E18" s="159"/>
      <c r="F18" s="159"/>
      <c r="G18" s="159"/>
      <c r="H18" s="159"/>
      <c r="I18" s="159"/>
    </row>
    <row r="19" spans="1:9" ht="73.5" customHeight="1">
      <c r="A19" s="19" t="s">
        <v>74</v>
      </c>
      <c r="B19" s="21">
        <v>2110</v>
      </c>
      <c r="C19" s="91">
        <f>C21+C22+C23+C24+C25</f>
        <v>909.22</v>
      </c>
      <c r="D19" s="91">
        <f>D21+D22+D23+D24+D25</f>
        <v>1672.87</v>
      </c>
      <c r="E19" s="91">
        <f>F19+G19+H19+I19</f>
        <v>1026.18</v>
      </c>
      <c r="F19" s="91">
        <f>F21+F22+F23+F24+F25</f>
        <v>254.35000000000002</v>
      </c>
      <c r="G19" s="91">
        <f>G21+G22+G23+G24+G25</f>
        <v>255.35000000000002</v>
      </c>
      <c r="H19" s="91">
        <f>H21+H22+H23+H24+H25</f>
        <v>257.55</v>
      </c>
      <c r="I19" s="91">
        <f>I21+I22+I23+I24+I25</f>
        <v>258.93</v>
      </c>
    </row>
    <row r="20" spans="1:9" ht="30" customHeight="1">
      <c r="A20" s="4" t="s">
        <v>75</v>
      </c>
      <c r="B20" s="5">
        <v>2111</v>
      </c>
      <c r="C20" s="92"/>
      <c r="D20" s="92"/>
      <c r="E20" s="91"/>
      <c r="F20" s="92"/>
      <c r="G20" s="92"/>
      <c r="H20" s="92"/>
      <c r="I20" s="92"/>
    </row>
    <row r="21" spans="1:9" ht="59.25" customHeight="1">
      <c r="A21" s="4" t="s">
        <v>151</v>
      </c>
      <c r="B21" s="5">
        <v>2112</v>
      </c>
      <c r="C21" s="92">
        <v>909.22</v>
      </c>
      <c r="D21" s="92">
        <v>1672.87</v>
      </c>
      <c r="E21" s="91">
        <f>F21+G21+H21+I21</f>
        <v>1026.18</v>
      </c>
      <c r="F21" s="92">
        <f>202.25+24.8+27.3</f>
        <v>254.35000000000002</v>
      </c>
      <c r="G21" s="92">
        <f>202.25+25.8+27.3</f>
        <v>255.35000000000002</v>
      </c>
      <c r="H21" s="92">
        <f>202.25+27.9+27.4</f>
        <v>257.55</v>
      </c>
      <c r="I21" s="92">
        <f>202.25+29.1+27.58</f>
        <v>258.93</v>
      </c>
    </row>
    <row r="22" spans="1:9" ht="56.25" customHeight="1">
      <c r="A22" s="20" t="s">
        <v>152</v>
      </c>
      <c r="B22" s="18">
        <v>2113</v>
      </c>
      <c r="C22" s="92"/>
      <c r="D22" s="92"/>
      <c r="E22" s="91"/>
      <c r="F22" s="92"/>
      <c r="G22" s="92"/>
      <c r="H22" s="92"/>
      <c r="I22" s="92"/>
    </row>
    <row r="23" spans="1:9" ht="15" customHeight="1">
      <c r="A23" s="20" t="s">
        <v>76</v>
      </c>
      <c r="B23" s="18">
        <v>2114</v>
      </c>
      <c r="C23" s="92"/>
      <c r="D23" s="92"/>
      <c r="E23" s="91"/>
      <c r="F23" s="92"/>
      <c r="G23" s="92"/>
      <c r="H23" s="92"/>
      <c r="I23" s="92"/>
    </row>
    <row r="24" spans="1:9" ht="25.5" customHeight="1">
      <c r="A24" s="20" t="s">
        <v>77</v>
      </c>
      <c r="B24" s="18">
        <v>2115</v>
      </c>
      <c r="C24" s="92"/>
      <c r="D24" s="92"/>
      <c r="E24" s="91"/>
      <c r="F24" s="92"/>
      <c r="G24" s="92"/>
      <c r="H24" s="92"/>
      <c r="I24" s="92"/>
    </row>
    <row r="25" spans="1:9" ht="28.5" customHeight="1">
      <c r="A25" s="20" t="s">
        <v>78</v>
      </c>
      <c r="B25" s="18">
        <v>2116</v>
      </c>
      <c r="C25" s="91"/>
      <c r="D25" s="91"/>
      <c r="E25" s="91"/>
      <c r="F25" s="91"/>
      <c r="G25" s="91"/>
      <c r="H25" s="91"/>
      <c r="I25" s="91"/>
    </row>
    <row r="26" spans="1:9" ht="71.25" customHeight="1">
      <c r="A26" s="19" t="s">
        <v>79</v>
      </c>
      <c r="B26" s="23">
        <v>2120</v>
      </c>
      <c r="C26" s="91">
        <f aca="true" t="shared" si="0" ref="C26:I26">C27+C28+C29+C30</f>
        <v>12041.84</v>
      </c>
      <c r="D26" s="91">
        <f t="shared" si="0"/>
        <v>14961.2</v>
      </c>
      <c r="E26" s="91">
        <f t="shared" si="0"/>
        <v>14255</v>
      </c>
      <c r="F26" s="91">
        <f t="shared" si="0"/>
        <v>2911</v>
      </c>
      <c r="G26" s="91">
        <f t="shared" si="0"/>
        <v>3559</v>
      </c>
      <c r="H26" s="91">
        <f t="shared" si="0"/>
        <v>3709.57</v>
      </c>
      <c r="I26" s="91">
        <f t="shared" si="0"/>
        <v>4075.43</v>
      </c>
    </row>
    <row r="27" spans="1:9" ht="28.5" customHeight="1">
      <c r="A27" s="20" t="s">
        <v>77</v>
      </c>
      <c r="B27" s="18">
        <v>2121</v>
      </c>
      <c r="C27" s="92">
        <v>12002.84</v>
      </c>
      <c r="D27" s="92">
        <v>14913.2</v>
      </c>
      <c r="E27" s="91">
        <f>F27+G27+H27+I27</f>
        <v>14202</v>
      </c>
      <c r="F27" s="92">
        <v>2898</v>
      </c>
      <c r="G27" s="92">
        <v>3546</v>
      </c>
      <c r="H27" s="92">
        <v>3696.07</v>
      </c>
      <c r="I27" s="92">
        <v>4061.93</v>
      </c>
    </row>
    <row r="28" spans="1:9" ht="15">
      <c r="A28" s="20" t="s">
        <v>80</v>
      </c>
      <c r="B28" s="18">
        <v>2122</v>
      </c>
      <c r="C28" s="92">
        <v>39</v>
      </c>
      <c r="D28" s="92">
        <v>48</v>
      </c>
      <c r="E28" s="91">
        <f>F28+G28+H28+I28</f>
        <v>53</v>
      </c>
      <c r="F28" s="92">
        <v>13</v>
      </c>
      <c r="G28" s="92">
        <v>13</v>
      </c>
      <c r="H28" s="92">
        <v>13.5</v>
      </c>
      <c r="I28" s="92">
        <v>13.5</v>
      </c>
    </row>
    <row r="29" spans="1:9" ht="15">
      <c r="A29" s="20" t="s">
        <v>81</v>
      </c>
      <c r="B29" s="18">
        <v>2123</v>
      </c>
      <c r="C29" s="92"/>
      <c r="D29" s="92"/>
      <c r="E29" s="91"/>
      <c r="F29" s="92"/>
      <c r="G29" s="92"/>
      <c r="H29" s="92"/>
      <c r="I29" s="92"/>
    </row>
    <row r="30" spans="1:9" ht="30">
      <c r="A30" s="20" t="s">
        <v>78</v>
      </c>
      <c r="B30" s="18">
        <v>2124</v>
      </c>
      <c r="C30" s="92"/>
      <c r="D30" s="92"/>
      <c r="E30" s="92"/>
      <c r="F30" s="92"/>
      <c r="G30" s="92"/>
      <c r="H30" s="92"/>
      <c r="I30" s="92"/>
    </row>
    <row r="31" spans="1:9" ht="57" customHeight="1">
      <c r="A31" s="19" t="s">
        <v>82</v>
      </c>
      <c r="B31" s="23">
        <v>2130</v>
      </c>
      <c r="C31" s="91">
        <f aca="true" t="shared" si="1" ref="C31:I31">C32+C33+C34+C35</f>
        <v>15093.140000000001</v>
      </c>
      <c r="D31" s="91">
        <f t="shared" si="1"/>
        <v>19341.72</v>
      </c>
      <c r="E31" s="91">
        <f t="shared" si="1"/>
        <v>18162.504455676</v>
      </c>
      <c r="F31" s="91">
        <f t="shared" si="1"/>
        <v>3706.07904</v>
      </c>
      <c r="G31" s="91">
        <f t="shared" si="1"/>
        <v>4534.84865</v>
      </c>
      <c r="H31" s="91">
        <f t="shared" si="1"/>
        <v>4728.140386452</v>
      </c>
      <c r="I31" s="91">
        <f t="shared" si="1"/>
        <v>5193.426379224</v>
      </c>
    </row>
    <row r="32" spans="1:9" ht="15">
      <c r="A32" s="20" t="s">
        <v>83</v>
      </c>
      <c r="B32" s="18">
        <v>2131</v>
      </c>
      <c r="C32" s="92"/>
      <c r="D32" s="92"/>
      <c r="E32" s="92"/>
      <c r="F32" s="92"/>
      <c r="G32" s="92"/>
      <c r="H32" s="92"/>
      <c r="I32" s="92"/>
    </row>
    <row r="33" spans="1:9" ht="62.25" customHeight="1">
      <c r="A33" s="20" t="s">
        <v>84</v>
      </c>
      <c r="B33" s="18">
        <v>2132</v>
      </c>
      <c r="C33" s="92">
        <v>14088.77</v>
      </c>
      <c r="D33" s="92">
        <v>18098.95</v>
      </c>
      <c r="E33" s="91">
        <f>F33+G33+H33+I33+0.01</f>
        <v>16979.004455676</v>
      </c>
      <c r="F33" s="92">
        <v>3464.57904</v>
      </c>
      <c r="G33" s="92">
        <v>4239.34865</v>
      </c>
      <c r="H33" s="92">
        <v>4420.130386452</v>
      </c>
      <c r="I33" s="92">
        <v>4854.936379224</v>
      </c>
    </row>
    <row r="34" spans="1:9" ht="45">
      <c r="A34" s="20" t="s">
        <v>85</v>
      </c>
      <c r="B34" s="18">
        <v>2133</v>
      </c>
      <c r="C34" s="92"/>
      <c r="D34" s="92"/>
      <c r="E34" s="92"/>
      <c r="F34" s="92"/>
      <c r="G34" s="92"/>
      <c r="H34" s="92"/>
      <c r="I34" s="92"/>
    </row>
    <row r="35" spans="1:9" ht="15">
      <c r="A35" s="20" t="s">
        <v>194</v>
      </c>
      <c r="B35" s="18">
        <v>2134</v>
      </c>
      <c r="C35" s="92">
        <v>1004.37</v>
      </c>
      <c r="D35" s="92">
        <v>1242.77</v>
      </c>
      <c r="E35" s="91">
        <f>F35+G35+H35+I35</f>
        <v>1183.5</v>
      </c>
      <c r="F35" s="92">
        <v>241.5</v>
      </c>
      <c r="G35" s="92">
        <v>295.5</v>
      </c>
      <c r="H35" s="92">
        <v>308.01</v>
      </c>
      <c r="I35" s="92">
        <v>338.49</v>
      </c>
    </row>
    <row r="36" spans="1:9" ht="15">
      <c r="A36" s="20"/>
      <c r="B36" s="18"/>
      <c r="C36" s="92"/>
      <c r="D36" s="92"/>
      <c r="E36" s="92"/>
      <c r="F36" s="92"/>
      <c r="G36" s="92"/>
      <c r="H36" s="92"/>
      <c r="I36" s="92"/>
    </row>
    <row r="37" spans="1:9" ht="45.75" customHeight="1">
      <c r="A37" s="19" t="s">
        <v>86</v>
      </c>
      <c r="B37" s="23">
        <v>2140</v>
      </c>
      <c r="C37" s="91"/>
      <c r="D37" s="91"/>
      <c r="E37" s="91"/>
      <c r="F37" s="91"/>
      <c r="G37" s="91"/>
      <c r="H37" s="91"/>
      <c r="I37" s="91"/>
    </row>
    <row r="38" spans="1:9" ht="101.25" customHeight="1">
      <c r="A38" s="20" t="s">
        <v>87</v>
      </c>
      <c r="B38" s="18">
        <v>2141</v>
      </c>
      <c r="C38" s="92"/>
      <c r="D38" s="92"/>
      <c r="E38" s="92"/>
      <c r="F38" s="92"/>
      <c r="G38" s="92"/>
      <c r="H38" s="92"/>
      <c r="I38" s="92"/>
    </row>
    <row r="39" spans="1:9" ht="42" customHeight="1">
      <c r="A39" s="20" t="s">
        <v>88</v>
      </c>
      <c r="B39" s="18">
        <v>2142</v>
      </c>
      <c r="C39" s="92"/>
      <c r="D39" s="92"/>
      <c r="E39" s="92"/>
      <c r="F39" s="92"/>
      <c r="G39" s="92"/>
      <c r="H39" s="92"/>
      <c r="I39" s="92"/>
    </row>
    <row r="40" spans="1:9" ht="15">
      <c r="A40" s="20"/>
      <c r="B40" s="18"/>
      <c r="C40" s="92"/>
      <c r="D40" s="92"/>
      <c r="E40" s="92"/>
      <c r="F40" s="92"/>
      <c r="G40" s="92"/>
      <c r="H40" s="92"/>
      <c r="I40" s="92"/>
    </row>
    <row r="41" spans="1:9" ht="15">
      <c r="A41" s="24"/>
      <c r="B41" s="15"/>
      <c r="C41" s="25"/>
      <c r="D41" s="26"/>
      <c r="E41" s="25"/>
      <c r="F41" s="26"/>
      <c r="G41" s="26"/>
      <c r="H41" s="26"/>
      <c r="I41" s="26"/>
    </row>
    <row r="42" spans="1:9" ht="15.75" customHeight="1">
      <c r="A42" s="98" t="s">
        <v>244</v>
      </c>
      <c r="B42" s="99"/>
      <c r="C42" s="155" t="s">
        <v>245</v>
      </c>
      <c r="D42" s="156"/>
      <c r="E42" s="156"/>
      <c r="F42" s="100"/>
      <c r="G42" s="157" t="s">
        <v>246</v>
      </c>
      <c r="H42" s="157"/>
      <c r="I42" s="157"/>
    </row>
    <row r="43" spans="1:9" ht="15.75">
      <c r="A43" s="101" t="s">
        <v>247</v>
      </c>
      <c r="B43" s="102"/>
      <c r="C43" s="158" t="s">
        <v>90</v>
      </c>
      <c r="D43" s="158"/>
      <c r="E43" s="158"/>
      <c r="F43" s="103"/>
      <c r="G43" s="103" t="s">
        <v>89</v>
      </c>
      <c r="H43" s="90"/>
      <c r="I43" s="104"/>
    </row>
    <row r="44" spans="1:9" ht="30" customHeight="1">
      <c r="A44" s="98" t="s">
        <v>248</v>
      </c>
      <c r="B44" s="105"/>
      <c r="C44" s="155" t="s">
        <v>245</v>
      </c>
      <c r="D44" s="156"/>
      <c r="E44" s="156"/>
      <c r="F44" s="105"/>
      <c r="G44" s="157" t="s">
        <v>249</v>
      </c>
      <c r="H44" s="157"/>
      <c r="I44" s="157"/>
    </row>
    <row r="45" spans="1:9" ht="15.75">
      <c r="A45" s="101" t="s">
        <v>247</v>
      </c>
      <c r="B45" s="90"/>
      <c r="C45" s="158" t="s">
        <v>90</v>
      </c>
      <c r="D45" s="158"/>
      <c r="E45" s="158"/>
      <c r="F45" s="90"/>
      <c r="G45" s="103" t="s">
        <v>89</v>
      </c>
      <c r="H45" s="90"/>
      <c r="I45" s="90"/>
    </row>
    <row r="46" spans="1:9" ht="30" customHeight="1">
      <c r="A46" s="98" t="s">
        <v>250</v>
      </c>
      <c r="B46" s="99"/>
      <c r="C46" s="155" t="s">
        <v>245</v>
      </c>
      <c r="D46" s="156"/>
      <c r="E46" s="156"/>
      <c r="F46" s="100"/>
      <c r="G46" s="157" t="s">
        <v>251</v>
      </c>
      <c r="H46" s="157"/>
      <c r="I46" s="157"/>
    </row>
    <row r="47" spans="1:9" ht="15.75">
      <c r="A47" s="101" t="s">
        <v>247</v>
      </c>
      <c r="B47" s="102"/>
      <c r="C47" s="158" t="s">
        <v>90</v>
      </c>
      <c r="D47" s="158"/>
      <c r="E47" s="158"/>
      <c r="F47" s="103"/>
      <c r="G47" s="103" t="s">
        <v>89</v>
      </c>
      <c r="H47" s="90"/>
      <c r="I47" s="104"/>
    </row>
  </sheetData>
  <sheetProtection/>
  <mergeCells count="19">
    <mergeCell ref="G1:I1"/>
    <mergeCell ref="A2:I2"/>
    <mergeCell ref="A4:A5"/>
    <mergeCell ref="B4:B5"/>
    <mergeCell ref="C4:C5"/>
    <mergeCell ref="D4:D5"/>
    <mergeCell ref="E4:E5"/>
    <mergeCell ref="F4:I4"/>
    <mergeCell ref="A7:I7"/>
    <mergeCell ref="A18:I18"/>
    <mergeCell ref="C44:E44"/>
    <mergeCell ref="G44:I44"/>
    <mergeCell ref="C42:E42"/>
    <mergeCell ref="G42:I42"/>
    <mergeCell ref="C43:E43"/>
    <mergeCell ref="C46:E46"/>
    <mergeCell ref="G46:I46"/>
    <mergeCell ref="C47:E47"/>
    <mergeCell ref="C45:E45"/>
  </mergeCells>
  <printOptions/>
  <pageMargins left="0.7874015748031497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5"/>
  <sheetViews>
    <sheetView tabSelected="1" zoomScale="120" zoomScaleNormal="120" zoomScalePageLayoutView="0" workbookViewId="0" topLeftCell="A75">
      <selection activeCell="A1" sqref="A1:I89"/>
    </sheetView>
  </sheetViews>
  <sheetFormatPr defaultColWidth="9.140625" defaultRowHeight="12.75"/>
  <cols>
    <col min="1" max="1" width="28.28125" style="14" customWidth="1"/>
    <col min="2" max="2" width="6.28125" style="14" customWidth="1"/>
    <col min="3" max="4" width="10.7109375" style="14" customWidth="1"/>
    <col min="5" max="5" width="10.8515625" style="14" customWidth="1"/>
    <col min="6" max="6" width="9.8515625" style="14" customWidth="1"/>
    <col min="7" max="8" width="9.57421875" style="14" customWidth="1"/>
    <col min="9" max="9" width="9.7109375" style="14" customWidth="1"/>
    <col min="10" max="16384" width="9.140625" style="14" customWidth="1"/>
  </cols>
  <sheetData>
    <row r="1" spans="1:9" ht="15.75">
      <c r="A1" s="200"/>
      <c r="B1" s="200"/>
      <c r="C1" s="200"/>
      <c r="D1" s="200"/>
      <c r="E1" s="200"/>
      <c r="F1" s="200"/>
      <c r="G1" s="142" t="s">
        <v>153</v>
      </c>
      <c r="H1" s="142"/>
      <c r="I1" s="142"/>
    </row>
    <row r="2" spans="1:9" ht="15.75">
      <c r="A2" s="167" t="s">
        <v>154</v>
      </c>
      <c r="B2" s="167"/>
      <c r="C2" s="167"/>
      <c r="D2" s="167"/>
      <c r="E2" s="167"/>
      <c r="F2" s="167"/>
      <c r="G2" s="167"/>
      <c r="H2" s="167"/>
      <c r="I2" s="167"/>
    </row>
    <row r="3" spans="1:9" ht="18.75" customHeight="1">
      <c r="A3" s="201" t="s">
        <v>1</v>
      </c>
      <c r="B3" s="202" t="s">
        <v>91</v>
      </c>
      <c r="C3" s="187" t="s">
        <v>189</v>
      </c>
      <c r="D3" s="187" t="s">
        <v>190</v>
      </c>
      <c r="E3" s="187" t="s">
        <v>191</v>
      </c>
      <c r="F3" s="187" t="s">
        <v>3</v>
      </c>
      <c r="G3" s="187"/>
      <c r="H3" s="187"/>
      <c r="I3" s="187"/>
    </row>
    <row r="4" spans="1:9" ht="44.25" customHeight="1">
      <c r="A4" s="203"/>
      <c r="B4" s="202"/>
      <c r="C4" s="187"/>
      <c r="D4" s="187"/>
      <c r="E4" s="187"/>
      <c r="F4" s="188" t="s">
        <v>4</v>
      </c>
      <c r="G4" s="188" t="s">
        <v>5</v>
      </c>
      <c r="H4" s="188" t="s">
        <v>6</v>
      </c>
      <c r="I4" s="188" t="s">
        <v>7</v>
      </c>
    </row>
    <row r="5" spans="1:9" s="13" customFormat="1" ht="13.5">
      <c r="A5" s="204">
        <v>1</v>
      </c>
      <c r="B5" s="188">
        <v>2</v>
      </c>
      <c r="C5" s="188">
        <v>3</v>
      </c>
      <c r="D5" s="188">
        <v>4</v>
      </c>
      <c r="E5" s="188">
        <v>5</v>
      </c>
      <c r="F5" s="188">
        <v>6</v>
      </c>
      <c r="G5" s="188">
        <v>7</v>
      </c>
      <c r="H5" s="188">
        <v>8</v>
      </c>
      <c r="I5" s="188">
        <v>9</v>
      </c>
    </row>
    <row r="6" spans="1:9" ht="19.5" customHeight="1">
      <c r="A6" s="205" t="s">
        <v>92</v>
      </c>
      <c r="B6" s="206"/>
      <c r="C6" s="206"/>
      <c r="D6" s="206"/>
      <c r="E6" s="206"/>
      <c r="F6" s="206"/>
      <c r="G6" s="206"/>
      <c r="H6" s="206"/>
      <c r="I6" s="207"/>
    </row>
    <row r="7" spans="1:11" ht="40.5">
      <c r="A7" s="208" t="s">
        <v>93</v>
      </c>
      <c r="B7" s="209">
        <v>3000</v>
      </c>
      <c r="C7" s="93">
        <f>C8+C9+C10+C11+C12+C13+C14+C15+C17+C18+C19+C22</f>
        <v>108681.32</v>
      </c>
      <c r="D7" s="93">
        <f>D8+D9+D10+D11+D12+D13+D14+D15+D17+D18+D19+D22+D16</f>
        <v>143581.2</v>
      </c>
      <c r="E7" s="93">
        <f>F7+G7+H7+I7</f>
        <v>123759.36</v>
      </c>
      <c r="F7" s="93">
        <f>F8+F9+F10+F11+F12+F13+F14+F15+F17+F18+F19+F22+F16</f>
        <v>25194.04</v>
      </c>
      <c r="G7" s="93">
        <f>G8+G9+G10+G11+G12+G13+G14+G15+G17+G18+G19+G22+G16</f>
        <v>31883.059999999998</v>
      </c>
      <c r="H7" s="93">
        <f>H8+H9+H10+H11+H12+H13+H14+H15+H17+H18+H19+H22+H16</f>
        <v>32295.239999999998</v>
      </c>
      <c r="I7" s="93">
        <f>I8+I9+I10+I11+I12+I13+I14+I15+I17+I18+I19+I22+I16</f>
        <v>34387.020000000004</v>
      </c>
      <c r="J7" s="96"/>
      <c r="K7" s="96"/>
    </row>
    <row r="8" spans="1:9" ht="27">
      <c r="A8" s="190" t="s">
        <v>94</v>
      </c>
      <c r="B8" s="210">
        <v>3010</v>
      </c>
      <c r="C8" s="94"/>
      <c r="D8" s="94"/>
      <c r="E8" s="94"/>
      <c r="F8" s="94"/>
      <c r="G8" s="94"/>
      <c r="H8" s="94"/>
      <c r="I8" s="94"/>
    </row>
    <row r="9" spans="1:9" ht="27">
      <c r="A9" s="190" t="s">
        <v>95</v>
      </c>
      <c r="B9" s="210">
        <v>3020</v>
      </c>
      <c r="C9" s="94"/>
      <c r="D9" s="94"/>
      <c r="E9" s="94"/>
      <c r="F9" s="94"/>
      <c r="G9" s="94"/>
      <c r="H9" s="94"/>
      <c r="I9" s="94"/>
    </row>
    <row r="10" spans="1:9" ht="14.25">
      <c r="A10" s="190" t="s">
        <v>96</v>
      </c>
      <c r="B10" s="210" t="s">
        <v>295</v>
      </c>
      <c r="C10" s="94"/>
      <c r="D10" s="94"/>
      <c r="E10" s="94"/>
      <c r="F10" s="94"/>
      <c r="G10" s="94"/>
      <c r="H10" s="94"/>
      <c r="I10" s="94"/>
    </row>
    <row r="11" spans="1:9" ht="40.5">
      <c r="A11" s="190" t="s">
        <v>287</v>
      </c>
      <c r="B11" s="210">
        <v>3021</v>
      </c>
      <c r="C11" s="94">
        <v>27713.8</v>
      </c>
      <c r="D11" s="94">
        <v>49894.95</v>
      </c>
      <c r="E11" s="93">
        <f>F11+G11+H11+I11</f>
        <v>23650.18</v>
      </c>
      <c r="F11" s="94">
        <f>5295.43+106.76</f>
        <v>5402.1900000000005</v>
      </c>
      <c r="G11" s="94">
        <f>5697.7+106.76</f>
        <v>5804.46</v>
      </c>
      <c r="H11" s="94">
        <f>4980.68+106.76</f>
        <v>5087.4400000000005</v>
      </c>
      <c r="I11" s="94">
        <f>7249.33+106.76</f>
        <v>7356.09</v>
      </c>
    </row>
    <row r="12" spans="1:9" ht="40.5">
      <c r="A12" s="190" t="s">
        <v>204</v>
      </c>
      <c r="B12" s="210">
        <v>3022</v>
      </c>
      <c r="C12" s="94">
        <v>627.3</v>
      </c>
      <c r="D12" s="94">
        <v>0</v>
      </c>
      <c r="E12" s="93">
        <f aca="true" t="shared" si="0" ref="E12:E19">F12+G12+H12+I12</f>
        <v>0</v>
      </c>
      <c r="F12" s="94"/>
      <c r="G12" s="94"/>
      <c r="H12" s="94"/>
      <c r="I12" s="94"/>
    </row>
    <row r="13" spans="1:9" ht="27">
      <c r="A13" s="211" t="s">
        <v>205</v>
      </c>
      <c r="B13" s="210">
        <v>3023</v>
      </c>
      <c r="C13" s="94">
        <v>48</v>
      </c>
      <c r="D13" s="94">
        <v>96</v>
      </c>
      <c r="E13" s="93">
        <f t="shared" si="0"/>
        <v>0</v>
      </c>
      <c r="F13" s="94"/>
      <c r="G13" s="94"/>
      <c r="H13" s="94"/>
      <c r="I13" s="94"/>
    </row>
    <row r="14" spans="1:9" ht="67.5">
      <c r="A14" s="211" t="s">
        <v>233</v>
      </c>
      <c r="B14" s="210">
        <v>3024</v>
      </c>
      <c r="C14" s="94">
        <v>14</v>
      </c>
      <c r="D14" s="94">
        <v>0</v>
      </c>
      <c r="E14" s="93">
        <f t="shared" si="0"/>
        <v>0</v>
      </c>
      <c r="F14" s="94"/>
      <c r="G14" s="94"/>
      <c r="H14" s="94"/>
      <c r="I14" s="94"/>
    </row>
    <row r="15" spans="1:9" ht="54">
      <c r="A15" s="195" t="s">
        <v>206</v>
      </c>
      <c r="B15" s="210">
        <v>3025</v>
      </c>
      <c r="C15" s="94">
        <v>116.7</v>
      </c>
      <c r="D15" s="94">
        <v>10050</v>
      </c>
      <c r="E15" s="93">
        <f t="shared" si="0"/>
        <v>5000</v>
      </c>
      <c r="F15" s="94">
        <v>0</v>
      </c>
      <c r="G15" s="94">
        <v>2500</v>
      </c>
      <c r="H15" s="94">
        <v>2500</v>
      </c>
      <c r="I15" s="94">
        <v>0</v>
      </c>
    </row>
    <row r="16" spans="1:9" ht="40.5">
      <c r="A16" s="195" t="s">
        <v>231</v>
      </c>
      <c r="B16" s="210">
        <v>3026</v>
      </c>
      <c r="C16" s="94"/>
      <c r="D16" s="94">
        <v>3000</v>
      </c>
      <c r="E16" s="93">
        <f t="shared" si="0"/>
        <v>0</v>
      </c>
      <c r="F16" s="94"/>
      <c r="G16" s="94"/>
      <c r="H16" s="94"/>
      <c r="I16" s="94"/>
    </row>
    <row r="17" spans="1:9" ht="54">
      <c r="A17" s="195" t="s">
        <v>232</v>
      </c>
      <c r="B17" s="210">
        <v>3027</v>
      </c>
      <c r="C17" s="94">
        <v>1406</v>
      </c>
      <c r="D17" s="94"/>
      <c r="E17" s="93">
        <f t="shared" si="0"/>
        <v>0</v>
      </c>
      <c r="F17" s="94"/>
      <c r="G17" s="94"/>
      <c r="H17" s="94"/>
      <c r="I17" s="94"/>
    </row>
    <row r="18" spans="1:9" ht="81">
      <c r="A18" s="195" t="s">
        <v>288</v>
      </c>
      <c r="B18" s="210">
        <v>3028</v>
      </c>
      <c r="C18" s="94">
        <v>38.95</v>
      </c>
      <c r="D18" s="94"/>
      <c r="E18" s="93">
        <f t="shared" si="0"/>
        <v>0</v>
      </c>
      <c r="F18" s="94"/>
      <c r="G18" s="94"/>
      <c r="H18" s="94"/>
      <c r="I18" s="94"/>
    </row>
    <row r="19" spans="1:9" ht="40.5">
      <c r="A19" s="195" t="s">
        <v>235</v>
      </c>
      <c r="B19" s="210">
        <v>3029</v>
      </c>
      <c r="C19" s="94">
        <v>568.54</v>
      </c>
      <c r="D19" s="94"/>
      <c r="E19" s="93">
        <f t="shared" si="0"/>
        <v>0</v>
      </c>
      <c r="F19" s="94"/>
      <c r="G19" s="94"/>
      <c r="H19" s="94"/>
      <c r="I19" s="94"/>
    </row>
    <row r="20" spans="1:9" ht="27">
      <c r="A20" s="190" t="s">
        <v>97</v>
      </c>
      <c r="B20" s="210">
        <v>3040</v>
      </c>
      <c r="C20" s="94"/>
      <c r="D20" s="94"/>
      <c r="E20" s="94"/>
      <c r="F20" s="94"/>
      <c r="G20" s="94"/>
      <c r="H20" s="94"/>
      <c r="I20" s="94"/>
    </row>
    <row r="21" spans="1:9" ht="40.5">
      <c r="A21" s="190" t="s">
        <v>155</v>
      </c>
      <c r="B21" s="210">
        <v>3050</v>
      </c>
      <c r="C21" s="94"/>
      <c r="D21" s="94"/>
      <c r="E21" s="94"/>
      <c r="F21" s="94"/>
      <c r="G21" s="94"/>
      <c r="H21" s="94"/>
      <c r="I21" s="94"/>
    </row>
    <row r="22" spans="1:9" ht="29.25" customHeight="1">
      <c r="A22" s="190" t="s">
        <v>307</v>
      </c>
      <c r="B22" s="210">
        <v>3060</v>
      </c>
      <c r="C22" s="93">
        <f>C23+C28+C29+C30+C24+C25+C26+C27</f>
        <v>78148.03</v>
      </c>
      <c r="D22" s="93">
        <f>D23+D28+D29+D30+D24+D25+D26+D27</f>
        <v>80540.25</v>
      </c>
      <c r="E22" s="93">
        <f aca="true" t="shared" si="1" ref="E22:E30">F22+G22+H22+I22</f>
        <v>95109.18</v>
      </c>
      <c r="F22" s="93">
        <f>F23+F28+F29+F30+F24+F25+F26+F27</f>
        <v>19791.85</v>
      </c>
      <c r="G22" s="93">
        <f>G23+G28+G29+G30+G24+G25+G26+G27</f>
        <v>23578.6</v>
      </c>
      <c r="H22" s="93">
        <f>H23+H28+H29+H30+H24+H25+H26+H27</f>
        <v>24707.8</v>
      </c>
      <c r="I22" s="93">
        <f>I23+I28+I29+I30+I24+I25+I26+I27</f>
        <v>27030.93</v>
      </c>
    </row>
    <row r="23" spans="1:9" ht="67.5">
      <c r="A23" s="192" t="s">
        <v>289</v>
      </c>
      <c r="B23" s="210" t="s">
        <v>225</v>
      </c>
      <c r="C23" s="94">
        <f>6565.44+2888.27</f>
        <v>9453.71</v>
      </c>
      <c r="D23" s="94">
        <f>8010+3778.47</f>
        <v>11788.47</v>
      </c>
      <c r="E23" s="93">
        <f t="shared" si="1"/>
        <v>13545</v>
      </c>
      <c r="F23" s="94">
        <f>'[1]І Фін результат'!F10</f>
        <v>3011.25</v>
      </c>
      <c r="G23" s="94">
        <f>'[1]І Фін результат'!G10</f>
        <v>3761.25</v>
      </c>
      <c r="H23" s="94">
        <f>'[1]І Фін результат'!H10</f>
        <v>3761.25</v>
      </c>
      <c r="I23" s="94">
        <f>'[1]І Фін результат'!I10</f>
        <v>3011.25</v>
      </c>
    </row>
    <row r="24" spans="1:9" ht="40.5">
      <c r="A24" s="192" t="s">
        <v>221</v>
      </c>
      <c r="B24" s="210" t="s">
        <v>227</v>
      </c>
      <c r="C24" s="94">
        <f>39+380</f>
        <v>419</v>
      </c>
      <c r="D24" s="94">
        <f>350+48</f>
        <v>398</v>
      </c>
      <c r="E24" s="93">
        <f t="shared" si="1"/>
        <v>533</v>
      </c>
      <c r="F24" s="94">
        <v>123</v>
      </c>
      <c r="G24" s="94">
        <v>128</v>
      </c>
      <c r="H24" s="94">
        <v>138.5</v>
      </c>
      <c r="I24" s="94">
        <v>143.5</v>
      </c>
    </row>
    <row r="25" spans="1:9" ht="27">
      <c r="A25" s="192" t="s">
        <v>196</v>
      </c>
      <c r="B25" s="210" t="s">
        <v>228</v>
      </c>
      <c r="C25" s="94">
        <v>1.89</v>
      </c>
      <c r="D25" s="94">
        <v>4.34</v>
      </c>
      <c r="E25" s="93">
        <f t="shared" si="1"/>
        <v>5</v>
      </c>
      <c r="F25" s="94">
        <v>1</v>
      </c>
      <c r="G25" s="94">
        <v>1</v>
      </c>
      <c r="H25" s="94">
        <v>1</v>
      </c>
      <c r="I25" s="94">
        <v>2</v>
      </c>
    </row>
    <row r="26" spans="1:9" ht="14.25">
      <c r="A26" s="192" t="s">
        <v>224</v>
      </c>
      <c r="B26" s="210" t="s">
        <v>229</v>
      </c>
      <c r="C26" s="94">
        <v>67142</v>
      </c>
      <c r="D26" s="94">
        <v>66546.57</v>
      </c>
      <c r="E26" s="93">
        <f t="shared" si="1"/>
        <v>80000</v>
      </c>
      <c r="F26" s="94">
        <v>16402.25</v>
      </c>
      <c r="G26" s="94">
        <v>19433</v>
      </c>
      <c r="H26" s="94">
        <v>20549.5</v>
      </c>
      <c r="I26" s="94">
        <v>23615.25</v>
      </c>
    </row>
    <row r="27" spans="1:9" ht="27">
      <c r="A27" s="190" t="s">
        <v>230</v>
      </c>
      <c r="B27" s="210" t="s">
        <v>226</v>
      </c>
      <c r="C27" s="94">
        <v>909.22</v>
      </c>
      <c r="D27" s="94">
        <v>1672.87</v>
      </c>
      <c r="E27" s="93">
        <f t="shared" si="1"/>
        <v>1026.18</v>
      </c>
      <c r="F27" s="94">
        <f>202.25+24.8+27.3</f>
        <v>254.35000000000002</v>
      </c>
      <c r="G27" s="94">
        <f>202.25+25.8+27.3</f>
        <v>255.35000000000002</v>
      </c>
      <c r="H27" s="94">
        <f>202.25+27.9+27.4</f>
        <v>257.55</v>
      </c>
      <c r="I27" s="94">
        <f>202.25+29.1+27.58</f>
        <v>258.93</v>
      </c>
    </row>
    <row r="28" spans="1:9" ht="27">
      <c r="A28" s="195" t="s">
        <v>195</v>
      </c>
      <c r="B28" s="210" t="s">
        <v>234</v>
      </c>
      <c r="C28" s="94">
        <v>132</v>
      </c>
      <c r="D28" s="94">
        <v>130</v>
      </c>
      <c r="E28" s="94">
        <f t="shared" si="1"/>
        <v>0</v>
      </c>
      <c r="F28" s="94"/>
      <c r="G28" s="94"/>
      <c r="H28" s="94"/>
      <c r="I28" s="94"/>
    </row>
    <row r="29" spans="1:9" ht="27">
      <c r="A29" s="195" t="s">
        <v>236</v>
      </c>
      <c r="B29" s="210" t="s">
        <v>237</v>
      </c>
      <c r="C29" s="94">
        <v>20.98</v>
      </c>
      <c r="D29" s="94"/>
      <c r="E29" s="94">
        <f t="shared" si="1"/>
        <v>0</v>
      </c>
      <c r="F29" s="94"/>
      <c r="G29" s="94"/>
      <c r="H29" s="94"/>
      <c r="I29" s="94"/>
    </row>
    <row r="30" spans="1:9" ht="14.25">
      <c r="A30" s="197" t="s">
        <v>238</v>
      </c>
      <c r="B30" s="210" t="s">
        <v>239</v>
      </c>
      <c r="C30" s="94">
        <v>69.23</v>
      </c>
      <c r="D30" s="94"/>
      <c r="E30" s="94">
        <f t="shared" si="1"/>
        <v>0</v>
      </c>
      <c r="F30" s="94"/>
      <c r="G30" s="94"/>
      <c r="H30" s="94"/>
      <c r="I30" s="94"/>
    </row>
    <row r="31" spans="1:9" ht="9" customHeight="1">
      <c r="A31" s="190"/>
      <c r="B31" s="210"/>
      <c r="C31" s="94"/>
      <c r="D31" s="94"/>
      <c r="E31" s="94"/>
      <c r="F31" s="94"/>
      <c r="G31" s="94"/>
      <c r="H31" s="94"/>
      <c r="I31" s="94"/>
    </row>
    <row r="32" spans="1:9" ht="27">
      <c r="A32" s="189" t="s">
        <v>98</v>
      </c>
      <c r="B32" s="212">
        <v>3100</v>
      </c>
      <c r="C32" s="93">
        <f>C33+C34+C36+C54+C35+C38+C39+C41+C44+C45+C46+C48+C49+C50+C51</f>
        <v>115259.73</v>
      </c>
      <c r="D32" s="93">
        <f>D33+D34+D36+D54+D35+D37+D38+D39+D40+D43+D47</f>
        <v>132067.88</v>
      </c>
      <c r="E32" s="93">
        <f>F32+G32+H32+I32+0.01</f>
        <v>118014.36445567598</v>
      </c>
      <c r="F32" s="93">
        <f>F33+F34+F36</f>
        <v>24894.039040000003</v>
      </c>
      <c r="G32" s="93">
        <f>G33+G34+G36</f>
        <v>29238.05865</v>
      </c>
      <c r="H32" s="93">
        <f>H33+H34+H36</f>
        <v>29645.240386452002</v>
      </c>
      <c r="I32" s="93">
        <f>I33+I34+I36</f>
        <v>34237.016379224</v>
      </c>
    </row>
    <row r="33" spans="1:9" ht="27">
      <c r="A33" s="190" t="s">
        <v>99</v>
      </c>
      <c r="B33" s="210">
        <v>3110</v>
      </c>
      <c r="C33" s="94">
        <v>32302.8</v>
      </c>
      <c r="D33" s="94">
        <v>29300.97</v>
      </c>
      <c r="E33" s="93">
        <f>F33+G33+H33+I33</f>
        <v>21109.18</v>
      </c>
      <c r="F33" s="94">
        <f>4968.35+106.76</f>
        <v>5075.110000000001</v>
      </c>
      <c r="G33" s="94">
        <f>5236.6-300+106.76</f>
        <v>5043.360000000001</v>
      </c>
      <c r="H33" s="94">
        <f>4527.1-200+106.76</f>
        <v>4433.860000000001</v>
      </c>
      <c r="I33" s="94">
        <f>6450.09+106.76</f>
        <v>6556.85</v>
      </c>
    </row>
    <row r="34" spans="1:9" ht="14.25">
      <c r="A34" s="190" t="s">
        <v>100</v>
      </c>
      <c r="B34" s="210">
        <v>3120</v>
      </c>
      <c r="C34" s="94">
        <v>52655.33</v>
      </c>
      <c r="D34" s="94">
        <v>66695.12</v>
      </c>
      <c r="E34" s="93">
        <f>F34+G34+H34+I34</f>
        <v>63514.5</v>
      </c>
      <c r="F34" s="94">
        <f>16100-241.5-2898</f>
        <v>12960.5</v>
      </c>
      <c r="G34" s="94">
        <f>19700-295.5-3546</f>
        <v>15858.5</v>
      </c>
      <c r="H34" s="94">
        <f>20533.7-308.01-3696.07</f>
        <v>16529.620000000003</v>
      </c>
      <c r="I34" s="94">
        <f>22566.3-338.49-4061.93</f>
        <v>18165.879999999997</v>
      </c>
    </row>
    <row r="35" spans="1:9" ht="40.5">
      <c r="A35" s="190" t="s">
        <v>156</v>
      </c>
      <c r="B35" s="210">
        <v>3130</v>
      </c>
      <c r="C35" s="94"/>
      <c r="D35" s="94"/>
      <c r="E35" s="94">
        <f aca="true" t="shared" si="2" ref="E35:E44">F35+G35+H35+I35</f>
        <v>0</v>
      </c>
      <c r="F35" s="94"/>
      <c r="G35" s="94"/>
      <c r="H35" s="94"/>
      <c r="I35" s="94"/>
    </row>
    <row r="36" spans="1:9" ht="40.5">
      <c r="A36" s="190" t="s">
        <v>101</v>
      </c>
      <c r="B36" s="210">
        <v>3140</v>
      </c>
      <c r="C36" s="94"/>
      <c r="D36" s="94"/>
      <c r="E36" s="93">
        <f>F36+G36+H36+I36+0.01</f>
        <v>33390.684455676004</v>
      </c>
      <c r="F36" s="93">
        <f>F39+F44+F45+F38</f>
        <v>6858.429040000001</v>
      </c>
      <c r="G36" s="93">
        <f>G39+G44+G45+G38</f>
        <v>8336.19865</v>
      </c>
      <c r="H36" s="93">
        <f>H39+H44+H45+H38</f>
        <v>8681.760386451999</v>
      </c>
      <c r="I36" s="93">
        <f>I39+I44+I45+I38</f>
        <v>9514.286379224</v>
      </c>
    </row>
    <row r="37" spans="1:9" ht="14.25">
      <c r="A37" s="190" t="s">
        <v>116</v>
      </c>
      <c r="B37" s="213" t="s">
        <v>296</v>
      </c>
      <c r="C37" s="94"/>
      <c r="D37" s="94"/>
      <c r="E37" s="94">
        <f t="shared" si="2"/>
        <v>0</v>
      </c>
      <c r="F37" s="94"/>
      <c r="G37" s="94"/>
      <c r="H37" s="94"/>
      <c r="I37" s="94"/>
    </row>
    <row r="38" spans="1:9" ht="14.25">
      <c r="A38" s="190" t="s">
        <v>102</v>
      </c>
      <c r="B38" s="213" t="s">
        <v>297</v>
      </c>
      <c r="C38" s="94">
        <v>909.22</v>
      </c>
      <c r="D38" s="94">
        <v>1672.87</v>
      </c>
      <c r="E38" s="94">
        <f t="shared" si="2"/>
        <v>1026.18</v>
      </c>
      <c r="F38" s="94">
        <f>202.25+24.8+27.3</f>
        <v>254.35000000000002</v>
      </c>
      <c r="G38" s="94">
        <f>202.25+25.8+27.3</f>
        <v>255.35000000000002</v>
      </c>
      <c r="H38" s="94">
        <f>202.25+27.9+27.4</f>
        <v>257.55</v>
      </c>
      <c r="I38" s="94">
        <f>202.25+29.1+27.58</f>
        <v>258.93</v>
      </c>
    </row>
    <row r="39" spans="1:9" ht="27">
      <c r="A39" s="190" t="s">
        <v>77</v>
      </c>
      <c r="B39" s="213" t="s">
        <v>298</v>
      </c>
      <c r="C39" s="94">
        <v>12002.84</v>
      </c>
      <c r="D39" s="94">
        <v>14913.2</v>
      </c>
      <c r="E39" s="93">
        <f t="shared" si="2"/>
        <v>14202</v>
      </c>
      <c r="F39" s="94">
        <f>'[1]ІІ Розр з бюджетом'!F27</f>
        <v>2898</v>
      </c>
      <c r="G39" s="94">
        <f>'[1]ІІ Розр з бюджетом'!G27</f>
        <v>3546</v>
      </c>
      <c r="H39" s="94">
        <f>'[1]ІІ Розр з бюджетом'!H27</f>
        <v>3696.07</v>
      </c>
      <c r="I39" s="94">
        <f>'[1]ІІ Розр з бюджетом'!I27</f>
        <v>4061.93</v>
      </c>
    </row>
    <row r="40" spans="1:9" ht="27">
      <c r="A40" s="190" t="s">
        <v>103</v>
      </c>
      <c r="B40" s="213">
        <v>3141</v>
      </c>
      <c r="C40" s="94"/>
      <c r="D40" s="94">
        <f>D41+D42</f>
        <v>48</v>
      </c>
      <c r="E40" s="94">
        <f t="shared" si="2"/>
        <v>0</v>
      </c>
      <c r="F40" s="94"/>
      <c r="G40" s="94"/>
      <c r="H40" s="94"/>
      <c r="I40" s="94"/>
    </row>
    <row r="41" spans="1:9" ht="14.25">
      <c r="A41" s="190" t="s">
        <v>80</v>
      </c>
      <c r="B41" s="213" t="s">
        <v>299</v>
      </c>
      <c r="C41" s="94">
        <v>39</v>
      </c>
      <c r="D41" s="94">
        <v>48</v>
      </c>
      <c r="E41" s="94"/>
      <c r="F41" s="94"/>
      <c r="G41" s="94"/>
      <c r="H41" s="94"/>
      <c r="I41" s="94"/>
    </row>
    <row r="42" spans="1:9" ht="45" customHeight="1">
      <c r="A42" s="190" t="s">
        <v>157</v>
      </c>
      <c r="B42" s="213" t="s">
        <v>300</v>
      </c>
      <c r="C42" s="94"/>
      <c r="D42" s="94"/>
      <c r="E42" s="94">
        <f t="shared" si="2"/>
        <v>0</v>
      </c>
      <c r="F42" s="94"/>
      <c r="G42" s="94"/>
      <c r="H42" s="94"/>
      <c r="I42" s="94"/>
    </row>
    <row r="43" spans="1:9" ht="14.25">
      <c r="A43" s="190" t="s">
        <v>104</v>
      </c>
      <c r="B43" s="213">
        <v>3142</v>
      </c>
      <c r="C43" s="94"/>
      <c r="D43" s="94">
        <f>D44+D45</f>
        <v>19341.72</v>
      </c>
      <c r="E43" s="94">
        <f t="shared" si="2"/>
        <v>0</v>
      </c>
      <c r="F43" s="94"/>
      <c r="G43" s="94"/>
      <c r="H43" s="94"/>
      <c r="I43" s="94"/>
    </row>
    <row r="44" spans="1:9" ht="14.25">
      <c r="A44" s="214" t="s">
        <v>194</v>
      </c>
      <c r="B44" s="213" t="s">
        <v>301</v>
      </c>
      <c r="C44" s="94">
        <v>1004.37</v>
      </c>
      <c r="D44" s="94">
        <v>1242.77</v>
      </c>
      <c r="E44" s="93">
        <f t="shared" si="2"/>
        <v>1183.5</v>
      </c>
      <c r="F44" s="94">
        <f>'[1]ІІ Розр з бюджетом'!F35</f>
        <v>241.5</v>
      </c>
      <c r="G44" s="94">
        <f>'[1]ІІ Розр з бюджетом'!G35</f>
        <v>295.5</v>
      </c>
      <c r="H44" s="94">
        <f>'[1]ІІ Розр з бюджетом'!H35</f>
        <v>308.01</v>
      </c>
      <c r="I44" s="94">
        <f>'[1]ІІ Розр з бюджетом'!I35</f>
        <v>338.49</v>
      </c>
    </row>
    <row r="45" spans="1:9" ht="48.75" customHeight="1">
      <c r="A45" s="190" t="s">
        <v>290</v>
      </c>
      <c r="B45" s="213" t="s">
        <v>302</v>
      </c>
      <c r="C45" s="94">
        <v>14188.77</v>
      </c>
      <c r="D45" s="94">
        <v>18098.95</v>
      </c>
      <c r="E45" s="94">
        <f>F45+G45+H45+I45+0.01</f>
        <v>16979.004455676</v>
      </c>
      <c r="F45" s="94">
        <f>'[1]ІІ Розр з бюджетом'!F33</f>
        <v>3464.57904</v>
      </c>
      <c r="G45" s="94">
        <f>'[1]ІІ Розр з бюджетом'!G33</f>
        <v>4239.34865</v>
      </c>
      <c r="H45" s="94">
        <f>'[1]ІІ Розр з бюджетом'!H33</f>
        <v>4420.130386452</v>
      </c>
      <c r="I45" s="94">
        <f>'[1]ІІ Розр з бюджетом'!I33</f>
        <v>4854.936379224</v>
      </c>
    </row>
    <row r="46" spans="1:9" ht="27">
      <c r="A46" s="190" t="s">
        <v>207</v>
      </c>
      <c r="B46" s="213">
        <v>3150</v>
      </c>
      <c r="C46" s="94">
        <v>627.3</v>
      </c>
      <c r="D46" s="94"/>
      <c r="E46" s="94"/>
      <c r="F46" s="94"/>
      <c r="G46" s="94"/>
      <c r="H46" s="94"/>
      <c r="I46" s="94"/>
    </row>
    <row r="47" spans="1:9" ht="14.25">
      <c r="A47" s="190" t="s">
        <v>17</v>
      </c>
      <c r="B47" s="213">
        <v>3160</v>
      </c>
      <c r="C47" s="94"/>
      <c r="D47" s="94">
        <f>D48</f>
        <v>96</v>
      </c>
      <c r="E47" s="94"/>
      <c r="F47" s="94"/>
      <c r="G47" s="94"/>
      <c r="H47" s="94"/>
      <c r="I47" s="94"/>
    </row>
    <row r="48" spans="1:9" ht="27">
      <c r="A48" s="211" t="s">
        <v>294</v>
      </c>
      <c r="B48" s="213" t="s">
        <v>303</v>
      </c>
      <c r="C48" s="94">
        <v>48</v>
      </c>
      <c r="D48" s="94">
        <v>96</v>
      </c>
      <c r="E48" s="94"/>
      <c r="F48" s="94"/>
      <c r="G48" s="94"/>
      <c r="H48" s="94"/>
      <c r="I48" s="94"/>
    </row>
    <row r="49" spans="1:9" ht="81">
      <c r="A49" s="195" t="s">
        <v>291</v>
      </c>
      <c r="B49" s="213">
        <v>3170</v>
      </c>
      <c r="C49" s="94">
        <v>38.95</v>
      </c>
      <c r="D49" s="94"/>
      <c r="E49" s="94"/>
      <c r="F49" s="94"/>
      <c r="G49" s="94"/>
      <c r="H49" s="94"/>
      <c r="I49" s="94"/>
    </row>
    <row r="50" spans="1:9" ht="67.5">
      <c r="A50" s="195" t="s">
        <v>240</v>
      </c>
      <c r="B50" s="213">
        <v>3171</v>
      </c>
      <c r="C50" s="94">
        <v>1406</v>
      </c>
      <c r="D50" s="94"/>
      <c r="E50" s="94"/>
      <c r="F50" s="94"/>
      <c r="G50" s="94"/>
      <c r="H50" s="94"/>
      <c r="I50" s="94"/>
    </row>
    <row r="51" spans="1:9" ht="27">
      <c r="A51" s="190" t="s">
        <v>241</v>
      </c>
      <c r="B51" s="213">
        <v>3180</v>
      </c>
      <c r="C51" s="94">
        <v>37.15</v>
      </c>
      <c r="D51" s="94"/>
      <c r="E51" s="94"/>
      <c r="F51" s="94"/>
      <c r="G51" s="94"/>
      <c r="H51" s="94"/>
      <c r="I51" s="94"/>
    </row>
    <row r="52" spans="1:9" ht="15" customHeight="1" hidden="1">
      <c r="A52" s="190"/>
      <c r="B52" s="213"/>
      <c r="C52" s="94"/>
      <c r="D52" s="94"/>
      <c r="E52" s="94"/>
      <c r="F52" s="94"/>
      <c r="G52" s="94"/>
      <c r="H52" s="94"/>
      <c r="I52" s="94"/>
    </row>
    <row r="53" spans="1:9" ht="14.25">
      <c r="A53" s="190" t="s">
        <v>105</v>
      </c>
      <c r="B53" s="210">
        <v>3190</v>
      </c>
      <c r="C53" s="94"/>
      <c r="D53" s="94"/>
      <c r="E53" s="94"/>
      <c r="F53" s="94"/>
      <c r="G53" s="94"/>
      <c r="H53" s="94"/>
      <c r="I53" s="94"/>
    </row>
    <row r="54" spans="1:9" ht="14.25">
      <c r="A54" s="190" t="s">
        <v>17</v>
      </c>
      <c r="B54" s="210"/>
      <c r="C54" s="93">
        <f>C55+C56</f>
        <v>0</v>
      </c>
      <c r="D54" s="94"/>
      <c r="E54" s="94"/>
      <c r="F54" s="94"/>
      <c r="G54" s="94"/>
      <c r="H54" s="94"/>
      <c r="I54" s="94"/>
    </row>
    <row r="55" spans="1:9" ht="15" customHeight="1" hidden="1">
      <c r="A55" s="190"/>
      <c r="B55" s="210"/>
      <c r="C55" s="94"/>
      <c r="D55" s="94"/>
      <c r="E55" s="94"/>
      <c r="F55" s="94"/>
      <c r="G55" s="94"/>
      <c r="H55" s="94"/>
      <c r="I55" s="94"/>
    </row>
    <row r="56" spans="1:9" ht="15" customHeight="1" hidden="1">
      <c r="A56" s="190"/>
      <c r="B56" s="210"/>
      <c r="C56" s="115"/>
      <c r="D56" s="115"/>
      <c r="E56" s="115"/>
      <c r="F56" s="115"/>
      <c r="G56" s="115"/>
      <c r="H56" s="115"/>
      <c r="I56" s="115"/>
    </row>
    <row r="57" spans="1:9" ht="27">
      <c r="A57" s="189" t="s">
        <v>106</v>
      </c>
      <c r="B57" s="212">
        <v>3195</v>
      </c>
      <c r="C57" s="116"/>
      <c r="D57" s="116"/>
      <c r="E57" s="116"/>
      <c r="F57" s="116"/>
      <c r="G57" s="116"/>
      <c r="H57" s="116"/>
      <c r="I57" s="116"/>
    </row>
    <row r="58" spans="1:9" ht="14.25" customHeight="1">
      <c r="A58" s="164" t="s">
        <v>107</v>
      </c>
      <c r="B58" s="165"/>
      <c r="C58" s="165"/>
      <c r="D58" s="165"/>
      <c r="E58" s="165"/>
      <c r="F58" s="165"/>
      <c r="G58" s="165"/>
      <c r="H58" s="165"/>
      <c r="I58" s="166"/>
    </row>
    <row r="59" spans="1:9" ht="40.5">
      <c r="A59" s="208" t="s">
        <v>108</v>
      </c>
      <c r="B59" s="209">
        <v>3200</v>
      </c>
      <c r="C59" s="22"/>
      <c r="D59" s="22"/>
      <c r="E59" s="22"/>
      <c r="F59" s="22"/>
      <c r="G59" s="22"/>
      <c r="H59" s="22"/>
      <c r="I59" s="22"/>
    </row>
    <row r="60" spans="1:9" ht="27">
      <c r="A60" s="190" t="s">
        <v>109</v>
      </c>
      <c r="B60" s="213">
        <v>3210</v>
      </c>
      <c r="C60" s="10"/>
      <c r="D60" s="10"/>
      <c r="E60" s="10"/>
      <c r="F60" s="10"/>
      <c r="G60" s="10"/>
      <c r="H60" s="10"/>
      <c r="I60" s="10"/>
    </row>
    <row r="61" spans="1:9" ht="27">
      <c r="A61" s="190" t="s">
        <v>110</v>
      </c>
      <c r="B61" s="210">
        <v>3220</v>
      </c>
      <c r="C61" s="10"/>
      <c r="D61" s="10"/>
      <c r="E61" s="10"/>
      <c r="F61" s="10"/>
      <c r="G61" s="10"/>
      <c r="H61" s="10"/>
      <c r="I61" s="10"/>
    </row>
    <row r="62" spans="1:9" ht="34.5" customHeight="1">
      <c r="A62" s="190" t="s">
        <v>307</v>
      </c>
      <c r="B62" s="210">
        <v>3230</v>
      </c>
      <c r="C62" s="10"/>
      <c r="D62" s="10"/>
      <c r="E62" s="10"/>
      <c r="F62" s="10"/>
      <c r="G62" s="10"/>
      <c r="H62" s="10"/>
      <c r="I62" s="10"/>
    </row>
    <row r="63" spans="1:9" ht="15" customHeight="1" hidden="1">
      <c r="A63" s="4"/>
      <c r="B63" s="9"/>
      <c r="C63" s="10"/>
      <c r="D63" s="10"/>
      <c r="E63" s="10"/>
      <c r="F63" s="10"/>
      <c r="G63" s="10"/>
      <c r="H63" s="10"/>
      <c r="I63" s="10"/>
    </row>
    <row r="64" spans="1:9" ht="15" customHeight="1" hidden="1">
      <c r="A64" s="4"/>
      <c r="B64" s="9"/>
      <c r="C64" s="10"/>
      <c r="D64" s="10"/>
      <c r="E64" s="10"/>
      <c r="F64" s="10"/>
      <c r="G64" s="10"/>
      <c r="H64" s="10"/>
      <c r="I64" s="10"/>
    </row>
    <row r="65" spans="1:9" ht="29.25" customHeight="1">
      <c r="A65" s="189" t="s">
        <v>111</v>
      </c>
      <c r="B65" s="212">
        <v>3255</v>
      </c>
      <c r="C65" s="93">
        <f aca="true" t="shared" si="3" ref="C65:I65">C66+C72</f>
        <v>6408.33</v>
      </c>
      <c r="D65" s="93">
        <f t="shared" si="3"/>
        <v>11513.32</v>
      </c>
      <c r="E65" s="93">
        <f t="shared" si="3"/>
        <v>5745</v>
      </c>
      <c r="F65" s="93">
        <f t="shared" si="3"/>
        <v>300</v>
      </c>
      <c r="G65" s="93">
        <f t="shared" si="3"/>
        <v>2645</v>
      </c>
      <c r="H65" s="93">
        <f t="shared" si="3"/>
        <v>2650</v>
      </c>
      <c r="I65" s="93">
        <f t="shared" si="3"/>
        <v>150</v>
      </c>
    </row>
    <row r="66" spans="1:9" ht="40.5">
      <c r="A66" s="190" t="s">
        <v>308</v>
      </c>
      <c r="B66" s="210">
        <v>3260</v>
      </c>
      <c r="C66" s="94">
        <v>5973.93</v>
      </c>
      <c r="D66" s="94">
        <v>10993.32</v>
      </c>
      <c r="E66" s="93">
        <f>F66+G66+H66+I66</f>
        <v>5250</v>
      </c>
      <c r="F66" s="94">
        <f>F67+F68</f>
        <v>250</v>
      </c>
      <c r="G66" s="94">
        <f>G67+G68</f>
        <v>2500</v>
      </c>
      <c r="H66" s="94">
        <f>H67+H68</f>
        <v>2500</v>
      </c>
      <c r="I66" s="94">
        <f>I67+I68</f>
        <v>0</v>
      </c>
    </row>
    <row r="67" spans="1:9" ht="40.5">
      <c r="A67" s="196" t="s">
        <v>293</v>
      </c>
      <c r="B67" s="210" t="s">
        <v>304</v>
      </c>
      <c r="C67" s="94"/>
      <c r="D67" s="94">
        <v>10050</v>
      </c>
      <c r="E67" s="93">
        <f>F67+G67+H67+I67</f>
        <v>5000</v>
      </c>
      <c r="F67" s="94">
        <v>0</v>
      </c>
      <c r="G67" s="94">
        <v>2500</v>
      </c>
      <c r="H67" s="94">
        <v>2500</v>
      </c>
      <c r="I67" s="94">
        <v>0</v>
      </c>
    </row>
    <row r="68" spans="1:9" ht="27">
      <c r="A68" s="196" t="s">
        <v>292</v>
      </c>
      <c r="B68" s="210" t="s">
        <v>305</v>
      </c>
      <c r="C68" s="94"/>
      <c r="D68" s="94">
        <v>943.32</v>
      </c>
      <c r="E68" s="93">
        <f>F68+G68+H68+I68</f>
        <v>250</v>
      </c>
      <c r="F68" s="94">
        <v>250</v>
      </c>
      <c r="G68" s="94">
        <v>0</v>
      </c>
      <c r="H68" s="94">
        <v>0</v>
      </c>
      <c r="I68" s="94">
        <v>0</v>
      </c>
    </row>
    <row r="69" spans="1:9" ht="27">
      <c r="A69" s="190" t="s">
        <v>309</v>
      </c>
      <c r="B69" s="210">
        <v>3261</v>
      </c>
      <c r="C69" s="94"/>
      <c r="D69" s="94"/>
      <c r="E69" s="94"/>
      <c r="F69" s="94"/>
      <c r="G69" s="94"/>
      <c r="H69" s="94"/>
      <c r="I69" s="94"/>
    </row>
    <row r="70" spans="1:9" ht="15" customHeight="1" hidden="1">
      <c r="A70" s="4"/>
      <c r="B70" s="9"/>
      <c r="C70" s="94"/>
      <c r="D70" s="94"/>
      <c r="E70" s="94"/>
      <c r="F70" s="94"/>
      <c r="G70" s="94"/>
      <c r="H70" s="94"/>
      <c r="I70" s="94"/>
    </row>
    <row r="71" spans="1:9" ht="15" customHeight="1" hidden="1">
      <c r="A71" s="4"/>
      <c r="B71" s="9"/>
      <c r="C71" s="94"/>
      <c r="D71" s="94"/>
      <c r="E71" s="94"/>
      <c r="F71" s="94"/>
      <c r="G71" s="94"/>
      <c r="H71" s="94"/>
      <c r="I71" s="94"/>
    </row>
    <row r="72" spans="1:9" ht="40.5">
      <c r="A72" s="190" t="s">
        <v>310</v>
      </c>
      <c r="B72" s="210">
        <v>3270</v>
      </c>
      <c r="C72" s="94">
        <v>434.4</v>
      </c>
      <c r="D72" s="94">
        <v>520</v>
      </c>
      <c r="E72" s="93">
        <f>F72+G72+H72+I72</f>
        <v>495</v>
      </c>
      <c r="F72" s="94">
        <v>50</v>
      </c>
      <c r="G72" s="94">
        <v>145</v>
      </c>
      <c r="H72" s="94">
        <v>150</v>
      </c>
      <c r="I72" s="94">
        <v>150</v>
      </c>
    </row>
    <row r="73" spans="1:9" ht="15" customHeight="1" hidden="1">
      <c r="A73" s="190"/>
      <c r="B73" s="210"/>
      <c r="C73" s="115"/>
      <c r="D73" s="115"/>
      <c r="E73" s="115"/>
      <c r="F73" s="115"/>
      <c r="G73" s="115"/>
      <c r="H73" s="115"/>
      <c r="I73" s="115"/>
    </row>
    <row r="74" spans="1:9" ht="15" customHeight="1" hidden="1">
      <c r="A74" s="190"/>
      <c r="B74" s="210"/>
      <c r="C74" s="115"/>
      <c r="D74" s="115"/>
      <c r="E74" s="115"/>
      <c r="F74" s="115"/>
      <c r="G74" s="115"/>
      <c r="H74" s="115"/>
      <c r="I74" s="115"/>
    </row>
    <row r="75" spans="1:9" ht="14.25">
      <c r="A75" s="190" t="s">
        <v>17</v>
      </c>
      <c r="B75" s="210">
        <v>3280</v>
      </c>
      <c r="C75" s="115"/>
      <c r="D75" s="115"/>
      <c r="E75" s="115"/>
      <c r="F75" s="115"/>
      <c r="G75" s="115"/>
      <c r="H75" s="115"/>
      <c r="I75" s="115"/>
    </row>
    <row r="76" spans="1:9" ht="15" customHeight="1" hidden="1">
      <c r="A76" s="71"/>
      <c r="B76" s="72"/>
      <c r="C76" s="115"/>
      <c r="D76" s="115"/>
      <c r="E76" s="115"/>
      <c r="F76" s="115"/>
      <c r="G76" s="115"/>
      <c r="H76" s="115"/>
      <c r="I76" s="115"/>
    </row>
    <row r="77" spans="1:9" ht="15" customHeight="1" hidden="1">
      <c r="A77" s="71"/>
      <c r="B77" s="72"/>
      <c r="C77" s="115"/>
      <c r="D77" s="115"/>
      <c r="E77" s="115"/>
      <c r="F77" s="115"/>
      <c r="G77" s="115"/>
      <c r="H77" s="115"/>
      <c r="I77" s="115"/>
    </row>
    <row r="78" spans="1:9" ht="27">
      <c r="A78" s="215" t="s">
        <v>112</v>
      </c>
      <c r="B78" s="216">
        <v>3295</v>
      </c>
      <c r="C78" s="116"/>
      <c r="D78" s="116"/>
      <c r="E78" s="116"/>
      <c r="F78" s="116"/>
      <c r="G78" s="116"/>
      <c r="H78" s="116"/>
      <c r="I78" s="116"/>
    </row>
    <row r="79" spans="1:9" ht="14.25">
      <c r="A79" s="189" t="s">
        <v>113</v>
      </c>
      <c r="B79" s="212">
        <v>3400</v>
      </c>
      <c r="C79" s="93">
        <f>C81-C80</f>
        <v>2206.3999999999996</v>
      </c>
      <c r="D79" s="116"/>
      <c r="E79" s="116">
        <f>E81-E80</f>
        <v>0</v>
      </c>
      <c r="F79" s="116"/>
      <c r="G79" s="116"/>
      <c r="H79" s="116"/>
      <c r="I79" s="116"/>
    </row>
    <row r="80" spans="1:9" ht="29.25" customHeight="1">
      <c r="A80" s="190" t="s">
        <v>114</v>
      </c>
      <c r="B80" s="210">
        <v>3405</v>
      </c>
      <c r="C80" s="94">
        <v>12212.7</v>
      </c>
      <c r="D80" s="115"/>
      <c r="E80" s="115"/>
      <c r="F80" s="115"/>
      <c r="G80" s="115"/>
      <c r="H80" s="115"/>
      <c r="I80" s="115"/>
    </row>
    <row r="81" spans="1:9" ht="28.5" customHeight="1">
      <c r="A81" s="190" t="s">
        <v>115</v>
      </c>
      <c r="B81" s="210">
        <v>3415</v>
      </c>
      <c r="C81" s="94">
        <v>14419.1</v>
      </c>
      <c r="D81" s="115"/>
      <c r="E81" s="115"/>
      <c r="F81" s="115"/>
      <c r="G81" s="115"/>
      <c r="H81" s="115"/>
      <c r="I81" s="115"/>
    </row>
    <row r="82" spans="1:9" ht="15">
      <c r="A82" s="31"/>
      <c r="B82" s="32"/>
      <c r="C82" s="33"/>
      <c r="D82" s="34"/>
      <c r="E82" s="35"/>
      <c r="F82" s="34"/>
      <c r="G82" s="34"/>
      <c r="H82" s="34"/>
      <c r="I82" s="34"/>
    </row>
    <row r="83" spans="1:15" ht="29.25" customHeight="1">
      <c r="A83" s="126" t="s">
        <v>244</v>
      </c>
      <c r="B83" s="127"/>
      <c r="C83" s="137" t="s">
        <v>245</v>
      </c>
      <c r="D83" s="138"/>
      <c r="E83" s="138"/>
      <c r="F83" s="128"/>
      <c r="G83" s="139" t="s">
        <v>246</v>
      </c>
      <c r="H83" s="139"/>
      <c r="I83" s="139"/>
      <c r="J83" s="62"/>
      <c r="K83" s="62"/>
      <c r="L83" s="27"/>
      <c r="M83" s="28"/>
      <c r="N83" s="28"/>
      <c r="O83" s="28"/>
    </row>
    <row r="84" spans="1:15" ht="15">
      <c r="A84" s="129" t="s">
        <v>247</v>
      </c>
      <c r="B84" s="130"/>
      <c r="C84" s="140" t="s">
        <v>90</v>
      </c>
      <c r="D84" s="140"/>
      <c r="E84" s="140"/>
      <c r="F84" s="131"/>
      <c r="G84" s="131" t="s">
        <v>89</v>
      </c>
      <c r="H84" s="97"/>
      <c r="I84" s="132"/>
      <c r="J84" s="63"/>
      <c r="K84" s="63"/>
      <c r="L84" s="29"/>
      <c r="M84" s="30"/>
      <c r="N84" s="30"/>
      <c r="O84" s="30"/>
    </row>
    <row r="85" spans="1:9" ht="31.5" customHeight="1">
      <c r="A85" s="126" t="s">
        <v>248</v>
      </c>
      <c r="B85" s="133"/>
      <c r="C85" s="137" t="s">
        <v>245</v>
      </c>
      <c r="D85" s="138"/>
      <c r="E85" s="138"/>
      <c r="F85" s="133"/>
      <c r="G85" s="139" t="s">
        <v>249</v>
      </c>
      <c r="H85" s="139"/>
      <c r="I85" s="139"/>
    </row>
    <row r="86" spans="1:9" ht="14.25">
      <c r="A86" s="129" t="s">
        <v>247</v>
      </c>
      <c r="B86" s="97"/>
      <c r="C86" s="140" t="s">
        <v>90</v>
      </c>
      <c r="D86" s="140"/>
      <c r="E86" s="140"/>
      <c r="F86" s="97"/>
      <c r="G86" s="131" t="s">
        <v>89</v>
      </c>
      <c r="H86" s="97"/>
      <c r="I86" s="97"/>
    </row>
    <row r="87" spans="1:9" ht="31.5" customHeight="1">
      <c r="A87" s="126" t="s">
        <v>250</v>
      </c>
      <c r="B87" s="127"/>
      <c r="C87" s="137" t="s">
        <v>245</v>
      </c>
      <c r="D87" s="138"/>
      <c r="E87" s="138"/>
      <c r="F87" s="128"/>
      <c r="G87" s="139" t="s">
        <v>251</v>
      </c>
      <c r="H87" s="139"/>
      <c r="I87" s="139"/>
    </row>
    <row r="88" spans="1:9" ht="14.25">
      <c r="A88" s="129" t="s">
        <v>247</v>
      </c>
      <c r="B88" s="130"/>
      <c r="C88" s="140" t="s">
        <v>90</v>
      </c>
      <c r="D88" s="140"/>
      <c r="E88" s="140"/>
      <c r="F88" s="131"/>
      <c r="G88" s="131" t="s">
        <v>89</v>
      </c>
      <c r="H88" s="97"/>
      <c r="I88" s="132"/>
    </row>
    <row r="89" spans="1:9" ht="14.25">
      <c r="A89" s="217"/>
      <c r="B89" s="217"/>
      <c r="C89" s="217"/>
      <c r="D89" s="217"/>
      <c r="E89" s="217"/>
      <c r="F89" s="217"/>
      <c r="G89" s="217"/>
      <c r="H89" s="217"/>
      <c r="I89" s="217"/>
    </row>
    <row r="90" spans="1:9" ht="14.25">
      <c r="A90" s="65"/>
      <c r="B90" s="65"/>
      <c r="C90" s="65"/>
      <c r="D90" s="65"/>
      <c r="E90" s="65"/>
      <c r="F90" s="65"/>
      <c r="G90" s="65"/>
      <c r="H90" s="65"/>
      <c r="I90" s="65"/>
    </row>
    <row r="91" spans="1:9" ht="14.25">
      <c r="A91" s="65"/>
      <c r="B91" s="65"/>
      <c r="C91" s="65"/>
      <c r="D91" s="65"/>
      <c r="E91" s="65"/>
      <c r="F91" s="65"/>
      <c r="G91" s="65"/>
      <c r="H91" s="65"/>
      <c r="I91" s="65"/>
    </row>
    <row r="92" spans="1:9" ht="14.25">
      <c r="A92" s="65"/>
      <c r="B92" s="65"/>
      <c r="C92" s="65"/>
      <c r="D92" s="65"/>
      <c r="E92" s="65"/>
      <c r="F92" s="65"/>
      <c r="G92" s="65"/>
      <c r="H92" s="65"/>
      <c r="I92" s="65"/>
    </row>
    <row r="93" spans="1:9" ht="14.25">
      <c r="A93" s="65"/>
      <c r="B93" s="65"/>
      <c r="C93" s="65"/>
      <c r="D93" s="65"/>
      <c r="E93" s="65"/>
      <c r="F93" s="65"/>
      <c r="G93" s="65"/>
      <c r="H93" s="65"/>
      <c r="I93" s="65"/>
    </row>
    <row r="94" spans="1:9" ht="14.25">
      <c r="A94" s="65"/>
      <c r="B94" s="65"/>
      <c r="C94" s="65"/>
      <c r="D94" s="65"/>
      <c r="E94" s="65"/>
      <c r="F94" s="65"/>
      <c r="G94" s="65"/>
      <c r="H94" s="65"/>
      <c r="I94" s="65"/>
    </row>
    <row r="95" spans="1:9" ht="14.25">
      <c r="A95" s="65"/>
      <c r="B95" s="65"/>
      <c r="C95" s="65"/>
      <c r="D95" s="65"/>
      <c r="E95" s="65"/>
      <c r="F95" s="65"/>
      <c r="G95" s="65"/>
      <c r="H95" s="65"/>
      <c r="I95" s="65"/>
    </row>
  </sheetData>
  <sheetProtection/>
  <mergeCells count="19">
    <mergeCell ref="G1:I1"/>
    <mergeCell ref="C83:E83"/>
    <mergeCell ref="G83:I83"/>
    <mergeCell ref="C84:E84"/>
    <mergeCell ref="A2:I2"/>
    <mergeCell ref="E3:E4"/>
    <mergeCell ref="F3:I3"/>
    <mergeCell ref="A3:A4"/>
    <mergeCell ref="B3:B4"/>
    <mergeCell ref="C3:C4"/>
    <mergeCell ref="C87:E87"/>
    <mergeCell ref="G87:I87"/>
    <mergeCell ref="C88:E88"/>
    <mergeCell ref="D3:D4"/>
    <mergeCell ref="A6:I6"/>
    <mergeCell ref="A58:I58"/>
    <mergeCell ref="C85:E85"/>
    <mergeCell ref="G85:I85"/>
    <mergeCell ref="C86:E86"/>
  </mergeCells>
  <printOptions/>
  <pageMargins left="0.7874015748031497" right="0.1968503937007874" top="0.5905511811023623" bottom="0.5905511811023623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1"/>
  <sheetViews>
    <sheetView zoomScale="120" zoomScaleNormal="120" zoomScalePageLayoutView="0" workbookViewId="0" topLeftCell="A1">
      <selection activeCell="A2" sqref="A2:I2"/>
    </sheetView>
  </sheetViews>
  <sheetFormatPr defaultColWidth="9.140625" defaultRowHeight="12.75"/>
  <cols>
    <col min="1" max="1" width="25.421875" style="14" customWidth="1"/>
    <col min="2" max="2" width="6.421875" style="14" customWidth="1"/>
    <col min="3" max="3" width="9.140625" style="14" customWidth="1"/>
    <col min="4" max="4" width="10.7109375" style="14" customWidth="1"/>
    <col min="5" max="5" width="10.28125" style="14" customWidth="1"/>
    <col min="6" max="6" width="6.8515625" style="14" customWidth="1"/>
    <col min="7" max="8" width="8.421875" style="14" customWidth="1"/>
    <col min="9" max="9" width="8.140625" style="14" customWidth="1"/>
    <col min="10" max="16384" width="9.140625" style="14" customWidth="1"/>
  </cols>
  <sheetData>
    <row r="1" spans="7:9" ht="15.75">
      <c r="G1" s="142" t="s">
        <v>159</v>
      </c>
      <c r="H1" s="142"/>
      <c r="I1" s="142"/>
    </row>
    <row r="2" spans="1:9" ht="15.75">
      <c r="A2" s="167" t="s">
        <v>117</v>
      </c>
      <c r="B2" s="167"/>
      <c r="C2" s="167"/>
      <c r="D2" s="167"/>
      <c r="E2" s="167"/>
      <c r="F2" s="167"/>
      <c r="G2" s="167"/>
      <c r="H2" s="167"/>
      <c r="I2" s="167"/>
    </row>
    <row r="3" spans="1:9" ht="15">
      <c r="A3" s="28"/>
      <c r="B3" s="28"/>
      <c r="C3" s="28"/>
      <c r="D3" s="28"/>
      <c r="E3" s="28"/>
      <c r="F3" s="28"/>
      <c r="G3" s="28"/>
      <c r="H3" s="28"/>
      <c r="I3" s="28"/>
    </row>
    <row r="4" spans="1:9" ht="60" customHeight="1">
      <c r="A4" s="171" t="s">
        <v>1</v>
      </c>
      <c r="B4" s="173" t="s">
        <v>2</v>
      </c>
      <c r="C4" s="163" t="s">
        <v>189</v>
      </c>
      <c r="D4" s="163" t="s">
        <v>190</v>
      </c>
      <c r="E4" s="163" t="s">
        <v>191</v>
      </c>
      <c r="F4" s="168" t="s">
        <v>3</v>
      </c>
      <c r="G4" s="169"/>
      <c r="H4" s="169"/>
      <c r="I4" s="170"/>
    </row>
    <row r="5" spans="1:9" ht="15">
      <c r="A5" s="172"/>
      <c r="B5" s="174"/>
      <c r="C5" s="163"/>
      <c r="D5" s="163"/>
      <c r="E5" s="163"/>
      <c r="F5" s="7" t="s">
        <v>4</v>
      </c>
      <c r="G5" s="7" t="s">
        <v>5</v>
      </c>
      <c r="H5" s="7" t="s">
        <v>6</v>
      </c>
      <c r="I5" s="7" t="s">
        <v>7</v>
      </c>
    </row>
    <row r="6" spans="1:9" s="13" customFormat="1" ht="12">
      <c r="A6" s="11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</row>
    <row r="7" spans="1:9" ht="51" customHeight="1">
      <c r="A7" s="8" t="s">
        <v>118</v>
      </c>
      <c r="B7" s="36">
        <v>4000</v>
      </c>
      <c r="C7" s="91">
        <f>C8+C9+C10</f>
        <v>6408.33</v>
      </c>
      <c r="D7" s="91">
        <f aca="true" t="shared" si="0" ref="D7:I7">D8+D9+D10+D13</f>
        <v>11513.32</v>
      </c>
      <c r="E7" s="91">
        <f t="shared" si="0"/>
        <v>5745</v>
      </c>
      <c r="F7" s="91">
        <f t="shared" si="0"/>
        <v>300</v>
      </c>
      <c r="G7" s="91">
        <f t="shared" si="0"/>
        <v>2645</v>
      </c>
      <c r="H7" s="91">
        <f t="shared" si="0"/>
        <v>2650</v>
      </c>
      <c r="I7" s="91">
        <f t="shared" si="0"/>
        <v>150</v>
      </c>
    </row>
    <row r="8" spans="1:9" ht="22.5" customHeight="1">
      <c r="A8" s="4" t="s">
        <v>119</v>
      </c>
      <c r="B8" s="37" t="s">
        <v>120</v>
      </c>
      <c r="C8" s="92"/>
      <c r="D8" s="92"/>
      <c r="E8" s="92"/>
      <c r="F8" s="92"/>
      <c r="G8" s="92"/>
      <c r="H8" s="92"/>
      <c r="I8" s="92"/>
    </row>
    <row r="9" spans="1:9" ht="33" customHeight="1">
      <c r="A9" s="4" t="s">
        <v>121</v>
      </c>
      <c r="B9" s="36">
        <v>4020</v>
      </c>
      <c r="C9" s="92">
        <v>5973.93</v>
      </c>
      <c r="D9" s="92">
        <v>10993.32</v>
      </c>
      <c r="E9" s="92">
        <f>F9+G9+H9+I9</f>
        <v>5250</v>
      </c>
      <c r="F9" s="92">
        <v>250</v>
      </c>
      <c r="G9" s="92">
        <v>2500</v>
      </c>
      <c r="H9" s="92">
        <v>2500</v>
      </c>
      <c r="I9" s="92">
        <v>0</v>
      </c>
    </row>
    <row r="10" spans="1:9" ht="45">
      <c r="A10" s="4" t="s">
        <v>122</v>
      </c>
      <c r="B10" s="37">
        <v>4030</v>
      </c>
      <c r="C10" s="92">
        <v>434.4</v>
      </c>
      <c r="D10" s="92">
        <v>520</v>
      </c>
      <c r="E10" s="92">
        <f>F10+G10+H10+I10</f>
        <v>495</v>
      </c>
      <c r="F10" s="92">
        <v>50</v>
      </c>
      <c r="G10" s="92">
        <v>145</v>
      </c>
      <c r="H10" s="92">
        <v>150</v>
      </c>
      <c r="I10" s="92">
        <v>150</v>
      </c>
    </row>
    <row r="11" spans="1:9" ht="35.25" customHeight="1">
      <c r="A11" s="4" t="s">
        <v>123</v>
      </c>
      <c r="B11" s="36">
        <v>4040</v>
      </c>
      <c r="C11" s="10"/>
      <c r="D11" s="10"/>
      <c r="E11" s="10">
        <f>F11+G11+H11+I11</f>
        <v>0</v>
      </c>
      <c r="F11" s="10"/>
      <c r="G11" s="10"/>
      <c r="H11" s="10"/>
      <c r="I11" s="10"/>
    </row>
    <row r="12" spans="1:9" ht="64.5" customHeight="1">
      <c r="A12" s="4" t="s">
        <v>124</v>
      </c>
      <c r="B12" s="37">
        <v>4050</v>
      </c>
      <c r="C12" s="10"/>
      <c r="D12" s="10"/>
      <c r="E12" s="10">
        <f>F12+G12+H12+I12</f>
        <v>0</v>
      </c>
      <c r="F12" s="10"/>
      <c r="G12" s="10"/>
      <c r="H12" s="10"/>
      <c r="I12" s="10"/>
    </row>
    <row r="13" spans="1:9" ht="18" customHeight="1">
      <c r="A13" s="4" t="s">
        <v>125</v>
      </c>
      <c r="B13" s="38">
        <v>4060</v>
      </c>
      <c r="C13" s="10"/>
      <c r="D13" s="10"/>
      <c r="E13" s="10">
        <f>F13+G13+H13+I13</f>
        <v>0</v>
      </c>
      <c r="F13" s="10"/>
      <c r="G13" s="10"/>
      <c r="H13" s="10"/>
      <c r="I13" s="10"/>
    </row>
    <row r="15" spans="7:9" ht="14.25">
      <c r="G15" s="109"/>
      <c r="H15" s="109"/>
      <c r="I15" s="109"/>
    </row>
    <row r="16" spans="1:9" ht="15.75">
      <c r="A16" s="98" t="s">
        <v>244</v>
      </c>
      <c r="B16" s="99"/>
      <c r="C16" s="155" t="s">
        <v>245</v>
      </c>
      <c r="D16" s="156"/>
      <c r="E16" s="156"/>
      <c r="F16" s="100"/>
      <c r="G16" s="106" t="s">
        <v>246</v>
      </c>
      <c r="H16" s="106"/>
      <c r="I16" s="106"/>
    </row>
    <row r="17" spans="1:9" ht="29.25" customHeight="1">
      <c r="A17" s="101" t="s">
        <v>247</v>
      </c>
      <c r="B17" s="102"/>
      <c r="C17" s="158" t="s">
        <v>90</v>
      </c>
      <c r="D17" s="158"/>
      <c r="E17" s="158"/>
      <c r="F17" s="103"/>
      <c r="G17" s="103" t="s">
        <v>89</v>
      </c>
      <c r="H17" s="90"/>
      <c r="I17" s="104"/>
    </row>
    <row r="18" spans="1:9" ht="31.5" customHeight="1">
      <c r="A18" s="98" t="s">
        <v>248</v>
      </c>
      <c r="B18" s="105"/>
      <c r="C18" s="155" t="s">
        <v>245</v>
      </c>
      <c r="D18" s="156"/>
      <c r="E18" s="156"/>
      <c r="F18" s="105"/>
      <c r="G18" s="157" t="s">
        <v>249</v>
      </c>
      <c r="H18" s="157"/>
      <c r="I18" s="157"/>
    </row>
    <row r="19" spans="1:9" ht="15.75">
      <c r="A19" s="101" t="s">
        <v>247</v>
      </c>
      <c r="B19" s="90"/>
      <c r="C19" s="158" t="s">
        <v>90</v>
      </c>
      <c r="D19" s="158"/>
      <c r="E19" s="158"/>
      <c r="F19" s="90"/>
      <c r="G19" s="103" t="s">
        <v>89</v>
      </c>
      <c r="H19" s="90"/>
      <c r="I19" s="90"/>
    </row>
    <row r="20" spans="1:9" ht="33.75" customHeight="1">
      <c r="A20" s="98" t="s">
        <v>250</v>
      </c>
      <c r="B20" s="99"/>
      <c r="C20" s="155" t="s">
        <v>245</v>
      </c>
      <c r="D20" s="156"/>
      <c r="E20" s="156"/>
      <c r="F20" s="100"/>
      <c r="G20" s="157" t="s">
        <v>251</v>
      </c>
      <c r="H20" s="157"/>
      <c r="I20" s="157"/>
    </row>
    <row r="21" spans="1:9" ht="15.75">
      <c r="A21" s="101" t="s">
        <v>247</v>
      </c>
      <c r="B21" s="102"/>
      <c r="C21" s="158" t="s">
        <v>90</v>
      </c>
      <c r="D21" s="158"/>
      <c r="E21" s="158"/>
      <c r="F21" s="103"/>
      <c r="G21" s="103" t="s">
        <v>89</v>
      </c>
      <c r="H21" s="90"/>
      <c r="I21" s="104"/>
    </row>
  </sheetData>
  <sheetProtection/>
  <mergeCells count="16">
    <mergeCell ref="G1:I1"/>
    <mergeCell ref="C17:E17"/>
    <mergeCell ref="C18:E18"/>
    <mergeCell ref="F4:I4"/>
    <mergeCell ref="A2:I2"/>
    <mergeCell ref="A4:A5"/>
    <mergeCell ref="B4:B5"/>
    <mergeCell ref="C4:C5"/>
    <mergeCell ref="D4:D5"/>
    <mergeCell ref="C21:E21"/>
    <mergeCell ref="E4:E5"/>
    <mergeCell ref="C16:E16"/>
    <mergeCell ref="G18:I18"/>
    <mergeCell ref="C19:E19"/>
    <mergeCell ref="C20:E20"/>
    <mergeCell ref="G20:I20"/>
  </mergeCells>
  <printOptions/>
  <pageMargins left="0.7874015748031497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2"/>
  <sheetViews>
    <sheetView zoomScale="120" zoomScaleNormal="120" zoomScalePageLayoutView="0" workbookViewId="0" topLeftCell="A1">
      <selection activeCell="A2" sqref="A2:E2"/>
    </sheetView>
  </sheetViews>
  <sheetFormatPr defaultColWidth="9.140625" defaultRowHeight="12.75"/>
  <cols>
    <col min="1" max="1" width="34.28125" style="0" customWidth="1"/>
    <col min="2" max="2" width="6.28125" style="76" customWidth="1"/>
    <col min="3" max="5" width="15.7109375" style="0" customWidth="1"/>
  </cols>
  <sheetData>
    <row r="1" spans="1:5" ht="15.75">
      <c r="A1" s="64"/>
      <c r="B1" s="64"/>
      <c r="C1" s="64"/>
      <c r="E1" s="61" t="s">
        <v>160</v>
      </c>
    </row>
    <row r="2" spans="1:5" ht="15.75">
      <c r="A2" s="167" t="s">
        <v>161</v>
      </c>
      <c r="B2" s="167"/>
      <c r="C2" s="167"/>
      <c r="D2" s="167"/>
      <c r="E2" s="167"/>
    </row>
    <row r="3" spans="1:5" ht="15.75">
      <c r="A3" s="40"/>
      <c r="B3" s="75"/>
      <c r="C3" s="40"/>
      <c r="D3" s="40"/>
      <c r="E3" s="40"/>
    </row>
    <row r="4" spans="1:5" ht="36" customHeight="1">
      <c r="A4" s="39" t="s">
        <v>1</v>
      </c>
      <c r="B4" s="6" t="s">
        <v>2</v>
      </c>
      <c r="C4" s="163" t="s">
        <v>189</v>
      </c>
      <c r="D4" s="163" t="s">
        <v>190</v>
      </c>
      <c r="E4" s="163" t="s">
        <v>191</v>
      </c>
    </row>
    <row r="5" spans="1:5" ht="12.75" customHeight="1">
      <c r="A5" s="41">
        <v>1</v>
      </c>
      <c r="B5" s="42">
        <v>2</v>
      </c>
      <c r="C5" s="163"/>
      <c r="D5" s="163"/>
      <c r="E5" s="163"/>
    </row>
    <row r="6" spans="1:5" ht="75" customHeight="1">
      <c r="A6" s="68" t="s">
        <v>162</v>
      </c>
      <c r="B6" s="69">
        <v>5010</v>
      </c>
      <c r="C6" s="93">
        <f>C7+C8+C9</f>
        <v>485</v>
      </c>
      <c r="D6" s="93">
        <f>D7+D8+D9</f>
        <v>428.5</v>
      </c>
      <c r="E6" s="93">
        <f>E7+E8+E9</f>
        <v>402.5</v>
      </c>
    </row>
    <row r="7" spans="1:5" ht="15" customHeight="1">
      <c r="A7" s="69" t="s">
        <v>126</v>
      </c>
      <c r="B7" s="69">
        <v>5011</v>
      </c>
      <c r="C7" s="94">
        <v>1</v>
      </c>
      <c r="D7" s="95">
        <v>1</v>
      </c>
      <c r="E7" s="94">
        <v>1</v>
      </c>
    </row>
    <row r="8" spans="1:5" ht="30" customHeight="1">
      <c r="A8" s="69" t="s">
        <v>127</v>
      </c>
      <c r="B8" s="69">
        <v>5012</v>
      </c>
      <c r="C8" s="94">
        <v>61</v>
      </c>
      <c r="D8" s="95">
        <v>46.25</v>
      </c>
      <c r="E8" s="94">
        <v>57.5</v>
      </c>
    </row>
    <row r="9" spans="1:5" ht="15" customHeight="1">
      <c r="A9" s="69" t="s">
        <v>128</v>
      </c>
      <c r="B9" s="69">
        <v>5013</v>
      </c>
      <c r="C9" s="94">
        <v>423</v>
      </c>
      <c r="D9" s="95">
        <v>381.25</v>
      </c>
      <c r="E9" s="94">
        <f>327.25+2.5+14.25</f>
        <v>344</v>
      </c>
    </row>
    <row r="10" spans="1:5" ht="29.25" customHeight="1">
      <c r="A10" s="68" t="s">
        <v>129</v>
      </c>
      <c r="B10" s="69">
        <v>5020</v>
      </c>
      <c r="C10" s="93">
        <f>C11+C12+C13</f>
        <v>65662.54000000001</v>
      </c>
      <c r="D10" s="93">
        <f>D11+D12+D13</f>
        <v>82851.09</v>
      </c>
      <c r="E10" s="93">
        <f>E11+E12+E13</f>
        <v>78900</v>
      </c>
    </row>
    <row r="11" spans="1:5" ht="15" customHeight="1">
      <c r="A11" s="69" t="s">
        <v>126</v>
      </c>
      <c r="B11" s="69">
        <v>5021</v>
      </c>
      <c r="C11" s="94">
        <v>515.12</v>
      </c>
      <c r="D11" s="95">
        <v>585</v>
      </c>
      <c r="E11" s="94">
        <v>698.25</v>
      </c>
    </row>
    <row r="12" spans="1:5" ht="30" customHeight="1">
      <c r="A12" s="69" t="s">
        <v>127</v>
      </c>
      <c r="B12" s="69">
        <v>5022</v>
      </c>
      <c r="C12" s="94">
        <v>6313.52</v>
      </c>
      <c r="D12" s="95">
        <v>7815</v>
      </c>
      <c r="E12" s="94">
        <v>9001.75</v>
      </c>
    </row>
    <row r="13" spans="1:5" ht="15" customHeight="1">
      <c r="A13" s="69" t="s">
        <v>128</v>
      </c>
      <c r="B13" s="69">
        <v>5023</v>
      </c>
      <c r="C13" s="94">
        <v>58833.9</v>
      </c>
      <c r="D13" s="95">
        <v>74451.09</v>
      </c>
      <c r="E13" s="94">
        <v>69200</v>
      </c>
    </row>
    <row r="14" spans="1:5" ht="45" customHeight="1">
      <c r="A14" s="68" t="s">
        <v>158</v>
      </c>
      <c r="B14" s="69">
        <v>5030</v>
      </c>
      <c r="C14" s="93">
        <f aca="true" t="shared" si="0" ref="C14:E17">C10/C6/12*1000</f>
        <v>11282.223367697597</v>
      </c>
      <c r="D14" s="93">
        <f t="shared" si="0"/>
        <v>16112.619603267209</v>
      </c>
      <c r="E14" s="93">
        <f t="shared" si="0"/>
        <v>16335.403726708077</v>
      </c>
    </row>
    <row r="15" spans="1:5" ht="15" customHeight="1">
      <c r="A15" s="69" t="s">
        <v>126</v>
      </c>
      <c r="B15" s="69">
        <v>5031</v>
      </c>
      <c r="C15" s="94">
        <f>C11/C7/12*1000-0.23</f>
        <v>42926.43666666667</v>
      </c>
      <c r="D15" s="94">
        <f t="shared" si="0"/>
        <v>48750</v>
      </c>
      <c r="E15" s="94">
        <f t="shared" si="0"/>
        <v>58187.5</v>
      </c>
    </row>
    <row r="16" spans="1:5" ht="30" customHeight="1">
      <c r="A16" s="69" t="s">
        <v>127</v>
      </c>
      <c r="B16" s="69">
        <v>5032</v>
      </c>
      <c r="C16" s="94">
        <f>C12/C8/12*1000</f>
        <v>8625.027322404372</v>
      </c>
      <c r="D16" s="94">
        <f t="shared" si="0"/>
        <v>14081.08108108108</v>
      </c>
      <c r="E16" s="94">
        <f t="shared" si="0"/>
        <v>13046.014492753622</v>
      </c>
    </row>
    <row r="17" spans="1:5" ht="15" customHeight="1">
      <c r="A17" s="69" t="s">
        <v>128</v>
      </c>
      <c r="B17" s="69">
        <v>5033</v>
      </c>
      <c r="C17" s="94">
        <f t="shared" si="0"/>
        <v>11590.602836879434</v>
      </c>
      <c r="D17" s="94">
        <f t="shared" si="0"/>
        <v>16273.462295081967</v>
      </c>
      <c r="E17" s="94">
        <f>E13/E9/12*1000</f>
        <v>16763.56589147287</v>
      </c>
    </row>
    <row r="18" spans="1:5" ht="30" customHeight="1">
      <c r="A18" s="68" t="s">
        <v>130</v>
      </c>
      <c r="B18" s="69">
        <v>5040</v>
      </c>
      <c r="C18" s="93">
        <f>C19+C20+C21</f>
        <v>79842.31999999999</v>
      </c>
      <c r="D18" s="93">
        <f>D19+D20+D21</f>
        <v>100950.03817495001</v>
      </c>
      <c r="E18" s="93">
        <f>E19+E20+E21</f>
        <v>95878.99999967999</v>
      </c>
    </row>
    <row r="19" spans="1:5" ht="15" customHeight="1">
      <c r="A19" s="69" t="s">
        <v>126</v>
      </c>
      <c r="B19" s="69">
        <v>5041</v>
      </c>
      <c r="C19" s="94">
        <v>628.44</v>
      </c>
      <c r="D19" s="95">
        <f>D11*1.21774047</f>
        <v>712.37817495</v>
      </c>
      <c r="E19" s="94">
        <f>E11*1.2151964512</f>
        <v>848.5109220503999</v>
      </c>
    </row>
    <row r="20" spans="1:5" ht="30" customHeight="1">
      <c r="A20" s="69" t="s">
        <v>127</v>
      </c>
      <c r="B20" s="69">
        <v>5042</v>
      </c>
      <c r="C20" s="94">
        <v>7644.93</v>
      </c>
      <c r="D20" s="95">
        <v>9516.64</v>
      </c>
      <c r="E20" s="94">
        <f>E12*1.2151964512</f>
        <v>10938.8946545896</v>
      </c>
    </row>
    <row r="21" spans="1:5" ht="15" customHeight="1">
      <c r="A21" s="69" t="s">
        <v>128</v>
      </c>
      <c r="B21" s="69">
        <v>5043</v>
      </c>
      <c r="C21" s="94">
        <v>71568.95</v>
      </c>
      <c r="D21" s="95">
        <v>90721.02</v>
      </c>
      <c r="E21" s="94">
        <f>E13*1.2151964512</f>
        <v>84091.59442303999</v>
      </c>
    </row>
    <row r="22" spans="1:5" ht="45" customHeight="1">
      <c r="A22" s="68" t="s">
        <v>131</v>
      </c>
      <c r="B22" s="69">
        <v>5050</v>
      </c>
      <c r="C22" s="93">
        <f aca="true" t="shared" si="1" ref="C22:E25">C18/C6/12*1000</f>
        <v>13718.611683848798</v>
      </c>
      <c r="D22" s="93">
        <f t="shared" si="1"/>
        <v>19632.44616393427</v>
      </c>
      <c r="E22" s="93">
        <f>E18/E6/12*1000</f>
        <v>19850.724637614905</v>
      </c>
    </row>
    <row r="23" spans="1:5" ht="15" customHeight="1">
      <c r="A23" s="69" t="s">
        <v>126</v>
      </c>
      <c r="B23" s="69">
        <v>5051</v>
      </c>
      <c r="C23" s="94">
        <f>C19/C7/12*1000</f>
        <v>52370.00000000001</v>
      </c>
      <c r="D23" s="94">
        <f>D19/D7/12*1000</f>
        <v>59364.8479125</v>
      </c>
      <c r="E23" s="94">
        <f t="shared" si="1"/>
        <v>70709.24350419999</v>
      </c>
    </row>
    <row r="24" spans="1:5" ht="30" customHeight="1">
      <c r="A24" s="69" t="s">
        <v>127</v>
      </c>
      <c r="B24" s="69">
        <v>5052</v>
      </c>
      <c r="C24" s="94">
        <f t="shared" si="1"/>
        <v>10443.893442622952</v>
      </c>
      <c r="D24" s="94">
        <f t="shared" si="1"/>
        <v>17147.099099099098</v>
      </c>
      <c r="E24" s="94">
        <f t="shared" si="1"/>
        <v>15853.47051389797</v>
      </c>
    </row>
    <row r="25" spans="1:5" ht="15" customHeight="1">
      <c r="A25" s="69" t="s">
        <v>128</v>
      </c>
      <c r="B25" s="69">
        <v>5053</v>
      </c>
      <c r="C25" s="94">
        <f>C21/C9/12*1000</f>
        <v>14099.47793538219</v>
      </c>
      <c r="D25" s="94">
        <f t="shared" si="1"/>
        <v>19829.731147540988</v>
      </c>
      <c r="E25" s="94">
        <f>E21/E9/12*1000</f>
        <v>20371.02578077519</v>
      </c>
    </row>
    <row r="26" spans="3:5" ht="12.75">
      <c r="C26" s="88"/>
      <c r="D26" s="88"/>
      <c r="E26" s="88"/>
    </row>
    <row r="27" spans="1:5" ht="15.75" customHeight="1">
      <c r="A27" s="98" t="s">
        <v>244</v>
      </c>
      <c r="B27" s="99"/>
      <c r="C27" s="177" t="s">
        <v>254</v>
      </c>
      <c r="D27" s="177"/>
      <c r="E27" s="177"/>
    </row>
    <row r="28" spans="1:5" ht="15.75">
      <c r="A28" s="101" t="s">
        <v>247</v>
      </c>
      <c r="B28" s="102"/>
      <c r="C28" s="107" t="s">
        <v>252</v>
      </c>
      <c r="D28" s="175" t="s">
        <v>89</v>
      </c>
      <c r="E28" s="175"/>
    </row>
    <row r="29" spans="1:5" ht="31.5">
      <c r="A29" s="98" t="s">
        <v>255</v>
      </c>
      <c r="B29" s="105"/>
      <c r="C29" s="176" t="s">
        <v>253</v>
      </c>
      <c r="D29" s="176"/>
      <c r="E29" s="176"/>
    </row>
    <row r="30" spans="1:5" ht="15" customHeight="1">
      <c r="A30" s="101" t="s">
        <v>247</v>
      </c>
      <c r="B30" s="90"/>
      <c r="C30" s="107" t="s">
        <v>252</v>
      </c>
      <c r="D30" s="175" t="s">
        <v>89</v>
      </c>
      <c r="E30" s="175"/>
    </row>
    <row r="31" spans="1:5" ht="21" customHeight="1">
      <c r="A31" s="98" t="s">
        <v>250</v>
      </c>
      <c r="B31" s="99"/>
      <c r="C31" s="176" t="s">
        <v>251</v>
      </c>
      <c r="D31" s="176"/>
      <c r="E31" s="176"/>
    </row>
    <row r="32" spans="1:5" ht="15.75">
      <c r="A32" s="101" t="s">
        <v>247</v>
      </c>
      <c r="B32" s="102"/>
      <c r="C32" s="107" t="s">
        <v>252</v>
      </c>
      <c r="D32" s="175" t="s">
        <v>89</v>
      </c>
      <c r="E32" s="175"/>
    </row>
  </sheetData>
  <sheetProtection/>
  <mergeCells count="10">
    <mergeCell ref="C27:E27"/>
    <mergeCell ref="D28:E28"/>
    <mergeCell ref="A2:E2"/>
    <mergeCell ref="C4:C5"/>
    <mergeCell ref="D4:D5"/>
    <mergeCell ref="E4:E5"/>
    <mergeCell ref="D30:E30"/>
    <mergeCell ref="D32:E32"/>
    <mergeCell ref="C29:E29"/>
    <mergeCell ref="C31:E31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0"/>
  <sheetViews>
    <sheetView zoomScale="120" zoomScaleNormal="120" zoomScalePageLayoutView="0" workbookViewId="0" topLeftCell="A1">
      <selection activeCell="A7" sqref="A7:I7"/>
    </sheetView>
  </sheetViews>
  <sheetFormatPr defaultColWidth="9.140625" defaultRowHeight="12.75"/>
  <cols>
    <col min="1" max="1" width="23.8515625" style="0" customWidth="1"/>
    <col min="2" max="2" width="6.7109375" style="0" customWidth="1"/>
    <col min="3" max="3" width="8.57421875" style="0" customWidth="1"/>
    <col min="4" max="4" width="11.8515625" style="0" customWidth="1"/>
    <col min="5" max="5" width="10.28125" style="0" customWidth="1"/>
    <col min="7" max="7" width="8.421875" style="0" customWidth="1"/>
    <col min="8" max="8" width="8.140625" style="0" customWidth="1"/>
    <col min="9" max="9" width="8.00390625" style="0" customWidth="1"/>
  </cols>
  <sheetData>
    <row r="1" spans="1:9" s="2" customFormat="1" ht="15.75">
      <c r="A1" s="83"/>
      <c r="B1" s="84"/>
      <c r="C1" s="84"/>
      <c r="D1" s="84"/>
      <c r="E1" s="84"/>
      <c r="F1" s="84"/>
      <c r="G1" s="84"/>
      <c r="H1" s="178" t="s">
        <v>177</v>
      </c>
      <c r="I1" s="178"/>
    </row>
    <row r="2" spans="1:9" s="2" customFormat="1" ht="36" customHeight="1">
      <c r="A2" s="179" t="s">
        <v>178</v>
      </c>
      <c r="B2" s="179"/>
      <c r="C2" s="179"/>
      <c r="D2" s="179"/>
      <c r="E2" s="179"/>
      <c r="F2" s="179"/>
      <c r="G2" s="179"/>
      <c r="H2" s="179"/>
      <c r="I2" s="179"/>
    </row>
    <row r="3" spans="1:9" s="2" customFormat="1" ht="7.5" customHeight="1">
      <c r="A3" s="1"/>
      <c r="B3" s="3"/>
      <c r="C3" s="1"/>
      <c r="D3" s="1"/>
      <c r="E3" s="3"/>
      <c r="F3" s="1"/>
      <c r="G3" s="1"/>
      <c r="H3" s="1"/>
      <c r="I3" s="1"/>
    </row>
    <row r="4" spans="1:9" s="2" customFormat="1" ht="15" customHeight="1">
      <c r="A4" s="163" t="s">
        <v>1</v>
      </c>
      <c r="B4" s="163" t="s">
        <v>2</v>
      </c>
      <c r="C4" s="163" t="s">
        <v>189</v>
      </c>
      <c r="D4" s="163" t="s">
        <v>190</v>
      </c>
      <c r="E4" s="163" t="s">
        <v>191</v>
      </c>
      <c r="F4" s="163" t="s">
        <v>3</v>
      </c>
      <c r="G4" s="163"/>
      <c r="H4" s="163"/>
      <c r="I4" s="163"/>
    </row>
    <row r="5" spans="1:9" s="2" customFormat="1" ht="61.5" customHeight="1">
      <c r="A5" s="163"/>
      <c r="B5" s="163"/>
      <c r="C5" s="163"/>
      <c r="D5" s="163"/>
      <c r="E5" s="163"/>
      <c r="F5" s="7" t="s">
        <v>4</v>
      </c>
      <c r="G5" s="7" t="s">
        <v>5</v>
      </c>
      <c r="H5" s="7" t="s">
        <v>6</v>
      </c>
      <c r="I5" s="7" t="s">
        <v>7</v>
      </c>
    </row>
    <row r="6" spans="1:9" s="13" customFormat="1" ht="12">
      <c r="A6" s="11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</row>
    <row r="7" spans="1:9" s="2" customFormat="1" ht="15">
      <c r="A7" s="180" t="s">
        <v>173</v>
      </c>
      <c r="B7" s="181"/>
      <c r="C7" s="181"/>
      <c r="D7" s="181"/>
      <c r="E7" s="181"/>
      <c r="F7" s="181"/>
      <c r="G7" s="181"/>
      <c r="H7" s="181"/>
      <c r="I7" s="182"/>
    </row>
    <row r="8" spans="1:9" ht="30">
      <c r="A8" s="77" t="s">
        <v>174</v>
      </c>
      <c r="B8" s="78">
        <v>6000</v>
      </c>
      <c r="C8" s="79">
        <v>0</v>
      </c>
      <c r="D8" s="79">
        <v>0</v>
      </c>
      <c r="E8" s="79">
        <v>0</v>
      </c>
      <c r="F8" s="79">
        <v>0</v>
      </c>
      <c r="G8" s="79">
        <v>0</v>
      </c>
      <c r="H8" s="79">
        <v>0</v>
      </c>
      <c r="I8" s="79">
        <v>0</v>
      </c>
    </row>
    <row r="9" spans="1:9" ht="14.25">
      <c r="A9" s="183" t="s">
        <v>175</v>
      </c>
      <c r="B9" s="184"/>
      <c r="C9" s="184"/>
      <c r="D9" s="184"/>
      <c r="E9" s="184"/>
      <c r="F9" s="184"/>
      <c r="G9" s="184"/>
      <c r="H9" s="184"/>
      <c r="I9" s="185"/>
    </row>
    <row r="10" spans="1:9" ht="45">
      <c r="A10" s="77" t="s">
        <v>180</v>
      </c>
      <c r="B10" s="78">
        <v>6010</v>
      </c>
      <c r="C10" s="80">
        <v>0</v>
      </c>
      <c r="D10" s="80">
        <v>0</v>
      </c>
      <c r="E10" s="81">
        <f>F10+G10+H10+I10</f>
        <v>0</v>
      </c>
      <c r="F10" s="80">
        <v>0</v>
      </c>
      <c r="G10" s="80">
        <v>0</v>
      </c>
      <c r="H10" s="80">
        <v>0</v>
      </c>
      <c r="I10" s="80">
        <v>0</v>
      </c>
    </row>
    <row r="11" spans="1:9" ht="45">
      <c r="A11" s="77" t="s">
        <v>176</v>
      </c>
      <c r="B11" s="82">
        <v>6020</v>
      </c>
      <c r="C11" s="80">
        <v>0</v>
      </c>
      <c r="D11" s="80">
        <v>0</v>
      </c>
      <c r="E11" s="81">
        <f>F11+G11+H11+I11</f>
        <v>0</v>
      </c>
      <c r="F11" s="80">
        <v>0</v>
      </c>
      <c r="G11" s="80">
        <v>0</v>
      </c>
      <c r="H11" s="80">
        <v>0</v>
      </c>
      <c r="I11" s="80">
        <v>0</v>
      </c>
    </row>
    <row r="12" spans="1:9" ht="15">
      <c r="A12" s="85" t="s">
        <v>179</v>
      </c>
      <c r="B12" s="85"/>
      <c r="C12" s="85"/>
      <c r="D12" s="85"/>
      <c r="E12" s="85"/>
      <c r="F12" s="85"/>
      <c r="G12" s="85"/>
      <c r="H12" s="86"/>
      <c r="I12" s="86"/>
    </row>
    <row r="13" spans="1:9" ht="15">
      <c r="A13" s="87"/>
      <c r="B13" s="87"/>
      <c r="C13" s="87"/>
      <c r="D13" s="87"/>
      <c r="E13" s="87"/>
      <c r="F13" s="87"/>
      <c r="G13" s="87"/>
      <c r="H13" s="88"/>
      <c r="I13" s="88"/>
    </row>
    <row r="14" spans="1:9" ht="15.75" customHeight="1">
      <c r="A14" s="98" t="s">
        <v>244</v>
      </c>
      <c r="B14" s="99"/>
      <c r="C14" s="155" t="s">
        <v>245</v>
      </c>
      <c r="D14" s="156"/>
      <c r="E14" s="156"/>
      <c r="F14" s="100"/>
      <c r="G14" s="157" t="s">
        <v>246</v>
      </c>
      <c r="H14" s="157"/>
      <c r="I14" s="157"/>
    </row>
    <row r="15" spans="1:9" ht="15" customHeight="1">
      <c r="A15" s="101" t="s">
        <v>247</v>
      </c>
      <c r="B15" s="102"/>
      <c r="C15" s="158" t="s">
        <v>90</v>
      </c>
      <c r="D15" s="158"/>
      <c r="E15" s="158"/>
      <c r="F15" s="103"/>
      <c r="G15" s="103" t="s">
        <v>89</v>
      </c>
      <c r="H15" s="90"/>
      <c r="I15" s="104"/>
    </row>
    <row r="16" spans="1:9" ht="31.5" customHeight="1">
      <c r="A16" s="98" t="s">
        <v>248</v>
      </c>
      <c r="B16" s="105"/>
      <c r="C16" s="155" t="s">
        <v>245</v>
      </c>
      <c r="D16" s="156"/>
      <c r="E16" s="156"/>
      <c r="F16" s="105"/>
      <c r="G16" s="157" t="s">
        <v>249</v>
      </c>
      <c r="H16" s="157"/>
      <c r="I16" s="157"/>
    </row>
    <row r="17" spans="1:9" ht="15.75">
      <c r="A17" s="101" t="s">
        <v>247</v>
      </c>
      <c r="B17" s="90"/>
      <c r="C17" s="158" t="s">
        <v>90</v>
      </c>
      <c r="D17" s="158"/>
      <c r="E17" s="158"/>
      <c r="F17" s="90"/>
      <c r="G17" s="103" t="s">
        <v>89</v>
      </c>
      <c r="H17" s="90"/>
      <c r="I17" s="90"/>
    </row>
    <row r="18" spans="1:9" ht="27.75" customHeight="1">
      <c r="A18" s="98" t="s">
        <v>250</v>
      </c>
      <c r="B18" s="99"/>
      <c r="C18" s="155" t="s">
        <v>245</v>
      </c>
      <c r="D18" s="156"/>
      <c r="E18" s="156"/>
      <c r="F18" s="100"/>
      <c r="G18" s="157" t="s">
        <v>251</v>
      </c>
      <c r="H18" s="157"/>
      <c r="I18" s="157"/>
    </row>
    <row r="19" spans="1:9" ht="15.75">
      <c r="A19" s="101" t="s">
        <v>247</v>
      </c>
      <c r="B19" s="102"/>
      <c r="C19" s="158" t="s">
        <v>90</v>
      </c>
      <c r="D19" s="158"/>
      <c r="E19" s="158"/>
      <c r="F19" s="103"/>
      <c r="G19" s="103" t="s">
        <v>89</v>
      </c>
      <c r="H19" s="90"/>
      <c r="I19" s="104"/>
    </row>
    <row r="20" spans="1:9" ht="14.25">
      <c r="A20" s="14"/>
      <c r="B20" s="14"/>
      <c r="C20" s="14"/>
      <c r="D20" s="14"/>
      <c r="E20" s="14"/>
      <c r="F20" s="14"/>
      <c r="G20" s="14"/>
      <c r="H20" s="14"/>
      <c r="I20" s="14"/>
    </row>
  </sheetData>
  <sheetProtection/>
  <mergeCells count="19">
    <mergeCell ref="G18:I18"/>
    <mergeCell ref="G14:I14"/>
    <mergeCell ref="A7:I7"/>
    <mergeCell ref="A9:I9"/>
    <mergeCell ref="H1:I1"/>
    <mergeCell ref="C17:E17"/>
    <mergeCell ref="A2:I2"/>
    <mergeCell ref="A4:A5"/>
    <mergeCell ref="B4:B5"/>
    <mergeCell ref="G16:I16"/>
    <mergeCell ref="E4:E5"/>
    <mergeCell ref="F4:I4"/>
    <mergeCell ref="C19:E19"/>
    <mergeCell ref="C4:C5"/>
    <mergeCell ref="C15:E15"/>
    <mergeCell ref="C16:E16"/>
    <mergeCell ref="D4:D5"/>
    <mergeCell ref="C14:E14"/>
    <mergeCell ref="C18:E18"/>
  </mergeCells>
  <printOptions/>
  <pageMargins left="0.7480314960629921" right="0.1968503937007874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2022-11-30T07:07:41Z</cp:lastPrinted>
  <dcterms:created xsi:type="dcterms:W3CDTF">1996-10-08T23:32:33Z</dcterms:created>
  <dcterms:modified xsi:type="dcterms:W3CDTF">2022-11-30T07:08:43Z</dcterms:modified>
  <cp:category/>
  <cp:version/>
  <cp:contentType/>
  <cp:contentStatus/>
</cp:coreProperties>
</file>